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damik\Desktop\"/>
    </mc:Choice>
  </mc:AlternateContent>
  <xr:revisionPtr revIDLastSave="0" documentId="13_ncr:1_{93105C00-51EC-44EE-96EC-86FB67B90118}" xr6:coauthVersionLast="47" xr6:coauthVersionMax="47" xr10:uidLastSave="{00000000-0000-0000-0000-000000000000}"/>
  <bookViews>
    <workbookView xWindow="-120" yWindow="-120" windowWidth="29040" windowHeight="15840" tabRatio="547" firstSheet="2" activeTab="6" xr2:uid="{E2372E26-3EB5-4E2F-AD86-B81FB6A25939}"/>
  </bookViews>
  <sheets>
    <sheet name="wyliczenia" sheetId="2" state="hidden" r:id="rId1"/>
    <sheet name="koszt 1 ucznia" sheetId="3" state="hidden" r:id="rId2"/>
    <sheet name="wariant 1" sheetId="5" r:id="rId3"/>
    <sheet name="wariant 2" sheetId="6" r:id="rId4"/>
    <sheet name="wariant 2a" sheetId="7" r:id="rId5"/>
    <sheet name="WARIANT 2b" sheetId="11" r:id="rId6"/>
    <sheet name="wariant3" sheetId="9" r:id="rId7"/>
    <sheet name="wariant 3a" sheetId="10" r:id="rId8"/>
  </sheets>
  <externalReferences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0" i="10" l="1"/>
  <c r="F310" i="10" s="1"/>
  <c r="F309" i="10"/>
  <c r="E309" i="10"/>
  <c r="E308" i="10"/>
  <c r="F306" i="10"/>
  <c r="E306" i="10"/>
  <c r="E305" i="10"/>
  <c r="E304" i="10"/>
  <c r="E303" i="10"/>
  <c r="E302" i="10"/>
  <c r="E301" i="10"/>
  <c r="E297" i="10" s="1"/>
  <c r="F297" i="10" s="1"/>
  <c r="E300" i="10"/>
  <c r="E298" i="10"/>
  <c r="F296" i="10"/>
  <c r="E296" i="10"/>
  <c r="E295" i="10"/>
  <c r="F295" i="10" s="1"/>
  <c r="F294" i="10"/>
  <c r="E294" i="10"/>
  <c r="E293" i="10"/>
  <c r="E292" i="10"/>
  <c r="D292" i="10"/>
  <c r="D291" i="10"/>
  <c r="E291" i="10" s="1"/>
  <c r="E290" i="10"/>
  <c r="D289" i="10"/>
  <c r="E289" i="10" s="1"/>
  <c r="E288" i="10"/>
  <c r="D288" i="10"/>
  <c r="E286" i="10"/>
  <c r="E285" i="10"/>
  <c r="D285" i="10"/>
  <c r="D284" i="10"/>
  <c r="E284" i="10" s="1"/>
  <c r="E283" i="10"/>
  <c r="D282" i="10"/>
  <c r="E282" i="10" s="1"/>
  <c r="E281" i="10"/>
  <c r="D281" i="10"/>
  <c r="E279" i="10"/>
  <c r="E278" i="10"/>
  <c r="E277" i="10"/>
  <c r="F276" i="10"/>
  <c r="E276" i="10"/>
  <c r="F273" i="10"/>
  <c r="E273" i="10"/>
  <c r="E272" i="10"/>
  <c r="E271" i="10"/>
  <c r="E270" i="10"/>
  <c r="E269" i="10"/>
  <c r="E268" i="10"/>
  <c r="E267" i="10"/>
  <c r="E265" i="10"/>
  <c r="F263" i="10"/>
  <c r="E263" i="10"/>
  <c r="E262" i="10"/>
  <c r="F262" i="10" s="1"/>
  <c r="E261" i="10"/>
  <c r="D259" i="10"/>
  <c r="E259" i="10" s="1"/>
  <c r="E258" i="10"/>
  <c r="D258" i="10"/>
  <c r="D257" i="10"/>
  <c r="E257" i="10" s="1"/>
  <c r="E256" i="10"/>
  <c r="D256" i="10"/>
  <c r="E254" i="10"/>
  <c r="E253" i="10"/>
  <c r="E252" i="10"/>
  <c r="D251" i="10"/>
  <c r="E251" i="10" s="1"/>
  <c r="E250" i="10"/>
  <c r="D250" i="10"/>
  <c r="D249" i="10"/>
  <c r="D260" i="10" s="1"/>
  <c r="E260" i="10" s="1"/>
  <c r="E247" i="10"/>
  <c r="E246" i="10"/>
  <c r="E245" i="10"/>
  <c r="E244" i="10" s="1"/>
  <c r="F241" i="10"/>
  <c r="E241" i="10"/>
  <c r="E240" i="10"/>
  <c r="F240" i="10" s="1"/>
  <c r="F239" i="10"/>
  <c r="E239" i="10"/>
  <c r="E238" i="10"/>
  <c r="F238" i="10" s="1"/>
  <c r="E237" i="10"/>
  <c r="E236" i="10"/>
  <c r="E235" i="10"/>
  <c r="F234" i="10"/>
  <c r="E234" i="10"/>
  <c r="E232" i="10"/>
  <c r="E230" i="10"/>
  <c r="E227" i="10"/>
  <c r="D223" i="10"/>
  <c r="E228" i="10" s="1"/>
  <c r="E222" i="10"/>
  <c r="E221" i="10"/>
  <c r="E220" i="10"/>
  <c r="D220" i="10"/>
  <c r="D219" i="10"/>
  <c r="E219" i="10" s="1"/>
  <c r="E217" i="10"/>
  <c r="E212" i="10"/>
  <c r="E209" i="10"/>
  <c r="F209" i="10" s="1"/>
  <c r="E208" i="10"/>
  <c r="E207" i="10"/>
  <c r="E206" i="10"/>
  <c r="E205" i="10"/>
  <c r="E204" i="10"/>
  <c r="D204" i="10"/>
  <c r="E203" i="10"/>
  <c r="E202" i="10"/>
  <c r="E195" i="10" s="1"/>
  <c r="D202" i="10"/>
  <c r="E201" i="10"/>
  <c r="E200" i="10"/>
  <c r="F200" i="10" s="1"/>
  <c r="F199" i="10"/>
  <c r="E199" i="10"/>
  <c r="E198" i="10"/>
  <c r="E197" i="10"/>
  <c r="E196" i="10"/>
  <c r="E194" i="10"/>
  <c r="E193" i="10"/>
  <c r="D193" i="10"/>
  <c r="D192" i="10"/>
  <c r="E192" i="10" s="1"/>
  <c r="E190" i="10"/>
  <c r="E189" i="10"/>
  <c r="E188" i="10"/>
  <c r="E187" i="10"/>
  <c r="E186" i="10"/>
  <c r="D185" i="10"/>
  <c r="E185" i="10" s="1"/>
  <c r="E184" i="10"/>
  <c r="D184" i="10"/>
  <c r="E182" i="10"/>
  <c r="D181" i="10"/>
  <c r="E181" i="10" s="1"/>
  <c r="E180" i="10"/>
  <c r="F175" i="10"/>
  <c r="E175" i="10"/>
  <c r="E174" i="10"/>
  <c r="E173" i="10"/>
  <c r="E172" i="10"/>
  <c r="E171" i="10"/>
  <c r="E170" i="10"/>
  <c r="E169" i="10"/>
  <c r="E167" i="10"/>
  <c r="E165" i="10"/>
  <c r="E164" i="10"/>
  <c r="E163" i="10"/>
  <c r="E162" i="10"/>
  <c r="E161" i="10"/>
  <c r="E160" i="10"/>
  <c r="E159" i="10" s="1"/>
  <c r="F159" i="10" s="1"/>
  <c r="E158" i="10"/>
  <c r="F158" i="10" s="1"/>
  <c r="E157" i="10"/>
  <c r="E156" i="10"/>
  <c r="E155" i="10"/>
  <c r="F155" i="10" s="1"/>
  <c r="F154" i="10"/>
  <c r="E154" i="10"/>
  <c r="E153" i="10"/>
  <c r="F152" i="10"/>
  <c r="E152" i="10"/>
  <c r="E151" i="10"/>
  <c r="E150" i="10"/>
  <c r="F149" i="10"/>
  <c r="E149" i="10"/>
  <c r="F148" i="10"/>
  <c r="E148" i="10"/>
  <c r="E147" i="10"/>
  <c r="E146" i="10"/>
  <c r="E145" i="10"/>
  <c r="D145" i="10"/>
  <c r="E144" i="10"/>
  <c r="E142" i="10"/>
  <c r="E141" i="10"/>
  <c r="E140" i="10"/>
  <c r="E139" i="10"/>
  <c r="E137" i="10"/>
  <c r="E136" i="10"/>
  <c r="D135" i="10"/>
  <c r="E135" i="10" s="1"/>
  <c r="E134" i="10"/>
  <c r="E132" i="10"/>
  <c r="E131" i="10"/>
  <c r="E130" i="10"/>
  <c r="E129" i="10"/>
  <c r="F127" i="10"/>
  <c r="E127" i="10"/>
  <c r="E126" i="10"/>
  <c r="E125" i="10"/>
  <c r="D122" i="10" s="1"/>
  <c r="E122" i="10" s="1"/>
  <c r="E124" i="10"/>
  <c r="E123" i="10"/>
  <c r="E121" i="10"/>
  <c r="E119" i="10"/>
  <c r="E118" i="10"/>
  <c r="E117" i="10"/>
  <c r="E113" i="10"/>
  <c r="F113" i="10" s="1"/>
  <c r="F112" i="10"/>
  <c r="E112" i="10"/>
  <c r="F111" i="10"/>
  <c r="E111" i="10"/>
  <c r="E110" i="10"/>
  <c r="E109" i="10"/>
  <c r="E108" i="10"/>
  <c r="E107" i="10"/>
  <c r="E106" i="10"/>
  <c r="E105" i="10"/>
  <c r="D104" i="10"/>
  <c r="E104" i="10" s="1"/>
  <c r="E103" i="10"/>
  <c r="E101" i="10"/>
  <c r="F101" i="10" s="1"/>
  <c r="E100" i="10"/>
  <c r="E99" i="10"/>
  <c r="E98" i="10"/>
  <c r="E97" i="10"/>
  <c r="E96" i="10"/>
  <c r="E95" i="10"/>
  <c r="E94" i="10"/>
  <c r="E93" i="10"/>
  <c r="E92" i="10" s="1"/>
  <c r="F92" i="10" s="1"/>
  <c r="F91" i="10"/>
  <c r="E91" i="10"/>
  <c r="F90" i="10"/>
  <c r="E90" i="10"/>
  <c r="F89" i="10"/>
  <c r="E89" i="10"/>
  <c r="F88" i="10"/>
  <c r="E88" i="10"/>
  <c r="F87" i="10"/>
  <c r="E87" i="10"/>
  <c r="F86" i="10"/>
  <c r="E86" i="10"/>
  <c r="E85" i="10"/>
  <c r="E84" i="10"/>
  <c r="E83" i="10"/>
  <c r="E82" i="10"/>
  <c r="E81" i="10"/>
  <c r="E80" i="10"/>
  <c r="E79" i="10"/>
  <c r="E78" i="10"/>
  <c r="E77" i="10"/>
  <c r="E76" i="10"/>
  <c r="E75" i="10"/>
  <c r="E74" i="10"/>
  <c r="E73" i="10"/>
  <c r="E70" i="10" s="1"/>
  <c r="F70" i="10" s="1"/>
  <c r="E72" i="10"/>
  <c r="E71" i="10"/>
  <c r="F69" i="10"/>
  <c r="E69" i="10"/>
  <c r="E68" i="10"/>
  <c r="E67" i="10"/>
  <c r="E66" i="10" s="1"/>
  <c r="F66" i="10" s="1"/>
  <c r="E65" i="10"/>
  <c r="E64" i="10"/>
  <c r="E63" i="10"/>
  <c r="E62" i="10" s="1"/>
  <c r="F62" i="10" s="1"/>
  <c r="E61" i="10"/>
  <c r="E60" i="10"/>
  <c r="E59" i="10" s="1"/>
  <c r="F59" i="10" s="1"/>
  <c r="E58" i="10"/>
  <c r="E57" i="10"/>
  <c r="E56" i="10"/>
  <c r="E55" i="10"/>
  <c r="E54" i="10"/>
  <c r="E53" i="10"/>
  <c r="E52" i="10"/>
  <c r="E51" i="10"/>
  <c r="E50" i="10"/>
  <c r="E49" i="10"/>
  <c r="E48" i="10"/>
  <c r="E47" i="10"/>
  <c r="F47" i="10" s="1"/>
  <c r="F46" i="10"/>
  <c r="E46" i="10"/>
  <c r="E45" i="10"/>
  <c r="E44" i="10"/>
  <c r="D44" i="10"/>
  <c r="E43" i="10"/>
  <c r="E42" i="10"/>
  <c r="E40" i="10"/>
  <c r="E39" i="10"/>
  <c r="E38" i="10"/>
  <c r="E37" i="10"/>
  <c r="E35" i="10"/>
  <c r="E34" i="10"/>
  <c r="D34" i="10"/>
  <c r="E33" i="10"/>
  <c r="E32" i="10"/>
  <c r="E31" i="10"/>
  <c r="E29" i="10"/>
  <c r="E28" i="10"/>
  <c r="E27" i="10"/>
  <c r="E26" i="10"/>
  <c r="F24" i="10"/>
  <c r="E24" i="10"/>
  <c r="E23" i="10"/>
  <c r="E22" i="10"/>
  <c r="D19" i="10" s="1"/>
  <c r="E19" i="10" s="1"/>
  <c r="E21" i="10"/>
  <c r="E20" i="10"/>
  <c r="E18" i="10"/>
  <c r="E16" i="10"/>
  <c r="E15" i="10"/>
  <c r="E14" i="10"/>
  <c r="E13" i="10"/>
  <c r="E12" i="10"/>
  <c r="E11" i="10"/>
  <c r="E134" i="11"/>
  <c r="F134" i="11"/>
  <c r="D104" i="11"/>
  <c r="E167" i="11"/>
  <c r="E166" i="11"/>
  <c r="E165" i="11"/>
  <c r="E162" i="11" s="1"/>
  <c r="F162" i="11" s="1"/>
  <c r="E164" i="11"/>
  <c r="E163" i="11"/>
  <c r="E161" i="11"/>
  <c r="E160" i="11"/>
  <c r="E159" i="11"/>
  <c r="E158" i="11"/>
  <c r="E157" i="11" s="1"/>
  <c r="F157" i="11" s="1"/>
  <c r="D156" i="11"/>
  <c r="E156" i="11" s="1"/>
  <c r="F156" i="11" s="1"/>
  <c r="E155" i="11"/>
  <c r="F155" i="11" s="1"/>
  <c r="E154" i="11"/>
  <c r="F154" i="11" s="1"/>
  <c r="E153" i="11"/>
  <c r="F153" i="11" s="1"/>
  <c r="E152" i="11"/>
  <c r="E151" i="11"/>
  <c r="E149" i="11"/>
  <c r="E148" i="11"/>
  <c r="E146" i="11"/>
  <c r="E145" i="11"/>
  <c r="E143" i="11"/>
  <c r="E142" i="11"/>
  <c r="E140" i="11"/>
  <c r="F140" i="11" s="1"/>
  <c r="E139" i="11"/>
  <c r="E138" i="11"/>
  <c r="E136" i="11"/>
  <c r="D137" i="11" s="1"/>
  <c r="E137" i="11" s="1"/>
  <c r="E132" i="11"/>
  <c r="F132" i="11" s="1"/>
  <c r="F131" i="11"/>
  <c r="E131" i="11"/>
  <c r="F130" i="11"/>
  <c r="E130" i="11"/>
  <c r="E129" i="11"/>
  <c r="E128" i="11"/>
  <c r="E127" i="11"/>
  <c r="E126" i="11"/>
  <c r="E123" i="11"/>
  <c r="D119" i="11"/>
  <c r="E119" i="11" s="1"/>
  <c r="E118" i="11"/>
  <c r="E116" i="11"/>
  <c r="E114" i="11"/>
  <c r="E124" i="11" s="1"/>
  <c r="E112" i="11"/>
  <c r="E110" i="11"/>
  <c r="E109" i="11"/>
  <c r="E108" i="11"/>
  <c r="E121" i="11" s="1"/>
  <c r="E103" i="11"/>
  <c r="E100" i="11"/>
  <c r="F100" i="11" s="1"/>
  <c r="E99" i="11"/>
  <c r="E98" i="11"/>
  <c r="E97" i="11"/>
  <c r="E96" i="11"/>
  <c r="E95" i="11"/>
  <c r="E94" i="11"/>
  <c r="D93" i="11" s="1"/>
  <c r="E93" i="11" s="1"/>
  <c r="E91" i="11" s="1"/>
  <c r="F91" i="11" s="1"/>
  <c r="E92" i="11"/>
  <c r="E90" i="11"/>
  <c r="E89" i="11"/>
  <c r="E88" i="11"/>
  <c r="E87" i="11"/>
  <c r="E86" i="11"/>
  <c r="E85" i="11"/>
  <c r="E84" i="11"/>
  <c r="F84" i="11" s="1"/>
  <c r="F83" i="11"/>
  <c r="E83" i="11"/>
  <c r="E82" i="11"/>
  <c r="F82" i="11" s="1"/>
  <c r="F81" i="11"/>
  <c r="E81" i="11"/>
  <c r="F80" i="11"/>
  <c r="E80" i="11"/>
  <c r="F79" i="11"/>
  <c r="E79" i="11"/>
  <c r="E78" i="11"/>
  <c r="D78" i="11"/>
  <c r="E77" i="11"/>
  <c r="D77" i="11"/>
  <c r="E76" i="11"/>
  <c r="D76" i="11"/>
  <c r="E75" i="11"/>
  <c r="D75" i="11"/>
  <c r="E74" i="11"/>
  <c r="E73" i="11"/>
  <c r="E72" i="11"/>
  <c r="D72" i="11"/>
  <c r="E71" i="11"/>
  <c r="D71" i="11"/>
  <c r="E70" i="11"/>
  <c r="D70" i="11"/>
  <c r="E69" i="11"/>
  <c r="E68" i="11"/>
  <c r="E67" i="11"/>
  <c r="E66" i="11"/>
  <c r="D66" i="11"/>
  <c r="E65" i="11"/>
  <c r="D65" i="11"/>
  <c r="E64" i="11"/>
  <c r="D64" i="11"/>
  <c r="F62" i="11"/>
  <c r="E62" i="11"/>
  <c r="E61" i="11"/>
  <c r="E60" i="11"/>
  <c r="E59" i="11"/>
  <c r="E58" i="11"/>
  <c r="E57" i="11"/>
  <c r="E55" i="11"/>
  <c r="D54" i="11"/>
  <c r="E54" i="11" s="1"/>
  <c r="E53" i="11"/>
  <c r="F51" i="11"/>
  <c r="E51" i="11"/>
  <c r="E50" i="11"/>
  <c r="E49" i="11"/>
  <c r="E48" i="11"/>
  <c r="D48" i="11"/>
  <c r="E47" i="11"/>
  <c r="F47" i="11" s="1"/>
  <c r="F46" i="11"/>
  <c r="E46" i="11"/>
  <c r="E45" i="11"/>
  <c r="E44" i="11"/>
  <c r="E43" i="11"/>
  <c r="E41" i="11"/>
  <c r="E40" i="11"/>
  <c r="E39" i="11"/>
  <c r="E38" i="11"/>
  <c r="E37" i="11"/>
  <c r="E35" i="11"/>
  <c r="D35" i="11"/>
  <c r="D34" i="11"/>
  <c r="E34" i="11" s="1"/>
  <c r="E33" i="11"/>
  <c r="E32" i="11"/>
  <c r="E30" i="11"/>
  <c r="E29" i="11"/>
  <c r="E28" i="11"/>
  <c r="E27" i="11"/>
  <c r="E26" i="11"/>
  <c r="E24" i="11"/>
  <c r="F24" i="11" s="1"/>
  <c r="E23" i="11"/>
  <c r="E22" i="11"/>
  <c r="E21" i="11"/>
  <c r="E20" i="11"/>
  <c r="E18" i="11"/>
  <c r="E16" i="11"/>
  <c r="E15" i="11"/>
  <c r="E14" i="11"/>
  <c r="E13" i="11"/>
  <c r="E12" i="11"/>
  <c r="E11" i="11"/>
  <c r="E74" i="7"/>
  <c r="E75" i="7"/>
  <c r="E57" i="7"/>
  <c r="D27" i="7"/>
  <c r="D244" i="7"/>
  <c r="D245" i="7"/>
  <c r="D246" i="7"/>
  <c r="D247" i="7"/>
  <c r="D252" i="7"/>
  <c r="D253" i="7"/>
  <c r="E215" i="5"/>
  <c r="F215" i="5"/>
  <c r="E216" i="5"/>
  <c r="F17" i="5"/>
  <c r="F17" i="6"/>
  <c r="F10" i="6"/>
  <c r="E215" i="6"/>
  <c r="F215" i="6"/>
  <c r="E287" i="10" l="1"/>
  <c r="F287" i="10" s="1"/>
  <c r="E191" i="10"/>
  <c r="F191" i="10" s="1"/>
  <c r="E183" i="10"/>
  <c r="F183" i="10" s="1"/>
  <c r="E116" i="10"/>
  <c r="F116" i="10" s="1"/>
  <c r="E10" i="10"/>
  <c r="F10" i="10" s="1"/>
  <c r="E17" i="10"/>
  <c r="F17" i="10" s="1"/>
  <c r="E41" i="10"/>
  <c r="E36" i="10" s="1"/>
  <c r="F36" i="10" s="1"/>
  <c r="E30" i="10"/>
  <c r="E25" i="10" s="1"/>
  <c r="F25" i="10" s="1"/>
  <c r="F244" i="10"/>
  <c r="E166" i="10"/>
  <c r="F166" i="10" s="1"/>
  <c r="D218" i="10"/>
  <c r="E218" i="10" s="1"/>
  <c r="E216" i="10"/>
  <c r="E255" i="10"/>
  <c r="F255" i="10" s="1"/>
  <c r="E264" i="10"/>
  <c r="F264" i="10" s="1"/>
  <c r="E280" i="10"/>
  <c r="F280" i="10" s="1"/>
  <c r="F308" i="10"/>
  <c r="E120" i="10"/>
  <c r="F120" i="10" s="1"/>
  <c r="E143" i="10"/>
  <c r="E138" i="10" s="1"/>
  <c r="F138" i="10" s="1"/>
  <c r="E179" i="10"/>
  <c r="E102" i="10"/>
  <c r="F102" i="10" s="1"/>
  <c r="D168" i="10"/>
  <c r="E168" i="10" s="1"/>
  <c r="E133" i="10" s="1"/>
  <c r="E128" i="10" s="1"/>
  <c r="F128" i="10" s="1"/>
  <c r="F212" i="10"/>
  <c r="E223" i="10"/>
  <c r="F223" i="10" s="1"/>
  <c r="E225" i="10"/>
  <c r="E233" i="10"/>
  <c r="E249" i="10"/>
  <c r="E248" i="10" s="1"/>
  <c r="F248" i="10" s="1"/>
  <c r="E125" i="11"/>
  <c r="F125" i="11" s="1"/>
  <c r="F114" i="11"/>
  <c r="E104" i="11"/>
  <c r="F104" i="11" s="1"/>
  <c r="F102" i="11" s="1"/>
  <c r="E63" i="11"/>
  <c r="F63" i="11" s="1"/>
  <c r="E56" i="11"/>
  <c r="F56" i="11" s="1"/>
  <c r="E52" i="11"/>
  <c r="F52" i="11" s="1"/>
  <c r="D19" i="11"/>
  <c r="E19" i="11" s="1"/>
  <c r="E17" i="11" s="1"/>
  <c r="F17" i="11" s="1"/>
  <c r="D111" i="11"/>
  <c r="E111" i="11" s="1"/>
  <c r="E10" i="11"/>
  <c r="F10" i="11" s="1"/>
  <c r="D150" i="11"/>
  <c r="E150" i="11" s="1"/>
  <c r="D144" i="11"/>
  <c r="E144" i="11" s="1"/>
  <c r="E141" i="11" s="1"/>
  <c r="F141" i="11" s="1"/>
  <c r="E135" i="11"/>
  <c r="E147" i="11"/>
  <c r="F147" i="11" s="1"/>
  <c r="E42" i="11"/>
  <c r="E36" i="11" s="1"/>
  <c r="F36" i="11" s="1"/>
  <c r="E31" i="11"/>
  <c r="E25" i="11" s="1"/>
  <c r="F25" i="11" s="1"/>
  <c r="D117" i="11"/>
  <c r="E117" i="11" s="1"/>
  <c r="E115" i="11" s="1"/>
  <c r="F115" i="11" s="1"/>
  <c r="E107" i="11"/>
  <c r="D122" i="11"/>
  <c r="E122" i="11" s="1"/>
  <c r="E120" i="11" s="1"/>
  <c r="F120" i="11" s="1"/>
  <c r="F103" i="11"/>
  <c r="E304" i="7"/>
  <c r="F304" i="7" s="1"/>
  <c r="E303" i="7"/>
  <c r="F303" i="7" s="1"/>
  <c r="E300" i="7"/>
  <c r="F300" i="7" s="1"/>
  <c r="E299" i="7"/>
  <c r="E298" i="7"/>
  <c r="E297" i="7"/>
  <c r="E296" i="7"/>
  <c r="E295" i="7"/>
  <c r="E294" i="7"/>
  <c r="E293" i="7"/>
  <c r="E292" i="7"/>
  <c r="E290" i="7"/>
  <c r="F290" i="7" s="1"/>
  <c r="E289" i="7"/>
  <c r="F289" i="7" s="1"/>
  <c r="E288" i="7"/>
  <c r="F288" i="7" s="1"/>
  <c r="E287" i="7"/>
  <c r="E286" i="7"/>
  <c r="E285" i="7"/>
  <c r="E284" i="7"/>
  <c r="E283" i="7"/>
  <c r="E282" i="7"/>
  <c r="E280" i="7"/>
  <c r="E279" i="7"/>
  <c r="E278" i="7"/>
  <c r="E277" i="7"/>
  <c r="E276" i="7"/>
  <c r="E275" i="7"/>
  <c r="E273" i="7"/>
  <c r="E272" i="7"/>
  <c r="E271" i="7"/>
  <c r="E267" i="7"/>
  <c r="F267" i="7" s="1"/>
  <c r="E266" i="7"/>
  <c r="E265" i="7"/>
  <c r="E264" i="7"/>
  <c r="E263" i="7"/>
  <c r="E262" i="7"/>
  <c r="E261" i="7"/>
  <c r="E259" i="7"/>
  <c r="E257" i="7"/>
  <c r="F257" i="7" s="1"/>
  <c r="E256" i="7"/>
  <c r="F256" i="7" s="1"/>
  <c r="E255" i="7"/>
  <c r="E254" i="7"/>
  <c r="E253" i="7"/>
  <c r="E252" i="7"/>
  <c r="E251" i="7"/>
  <c r="E250" i="7"/>
  <c r="E248" i="7"/>
  <c r="E247" i="7"/>
  <c r="E246" i="7"/>
  <c r="E245" i="7"/>
  <c r="E244" i="7"/>
  <c r="E243" i="7"/>
  <c r="E241" i="7"/>
  <c r="E240" i="7"/>
  <c r="E239" i="7"/>
  <c r="E238" i="7"/>
  <c r="E234" i="7"/>
  <c r="F234" i="7" s="1"/>
  <c r="E233" i="7"/>
  <c r="F233" i="7" s="1"/>
  <c r="E232" i="7"/>
  <c r="F232" i="7" s="1"/>
  <c r="E231" i="7"/>
  <c r="F231" i="7" s="1"/>
  <c r="E230" i="7"/>
  <c r="E229" i="7"/>
  <c r="E228" i="7"/>
  <c r="E226" i="7"/>
  <c r="E225" i="7"/>
  <c r="E223" i="7"/>
  <c r="E221" i="7"/>
  <c r="E220" i="7"/>
  <c r="E218" i="7"/>
  <c r="E216" i="7"/>
  <c r="F216" i="7" s="1"/>
  <c r="E215" i="7"/>
  <c r="E214" i="7"/>
  <c r="E211" i="7"/>
  <c r="D219" i="7" s="1"/>
  <c r="E219" i="7" s="1"/>
  <c r="E210" i="7"/>
  <c r="E206" i="7"/>
  <c r="F206" i="7" s="1"/>
  <c r="E205" i="7"/>
  <c r="E202" i="7"/>
  <c r="F202" i="7" s="1"/>
  <c r="E201" i="7"/>
  <c r="E200" i="7"/>
  <c r="E199" i="7"/>
  <c r="E198" i="7"/>
  <c r="E197" i="7"/>
  <c r="E196" i="7"/>
  <c r="E194" i="7"/>
  <c r="E192" i="7"/>
  <c r="F192" i="7" s="1"/>
  <c r="E191" i="7"/>
  <c r="E190" i="7"/>
  <c r="E189" i="7"/>
  <c r="E188" i="7"/>
  <c r="E187" i="7"/>
  <c r="E186" i="7"/>
  <c r="E185" i="7"/>
  <c r="E183" i="7"/>
  <c r="E182" i="7"/>
  <c r="E181" i="7"/>
  <c r="E180" i="7"/>
  <c r="E179" i="7"/>
  <c r="E178" i="7"/>
  <c r="E177" i="7"/>
  <c r="E175" i="7"/>
  <c r="E174" i="7"/>
  <c r="E173" i="7"/>
  <c r="E168" i="7"/>
  <c r="F168" i="7" s="1"/>
  <c r="E167" i="7"/>
  <c r="E166" i="7"/>
  <c r="E165" i="7"/>
  <c r="E164" i="7"/>
  <c r="E163" i="7"/>
  <c r="E162" i="7"/>
  <c r="E160" i="7"/>
  <c r="E158" i="7"/>
  <c r="E157" i="7"/>
  <c r="E156" i="7"/>
  <c r="E155" i="7"/>
  <c r="E154" i="7"/>
  <c r="E153" i="7"/>
  <c r="E151" i="7"/>
  <c r="F151" i="7" s="1"/>
  <c r="E150" i="7"/>
  <c r="E149" i="7"/>
  <c r="E148" i="7" s="1"/>
  <c r="F148" i="7" s="1"/>
  <c r="E147" i="7"/>
  <c r="F147" i="7" s="1"/>
  <c r="E146" i="7"/>
  <c r="E145" i="7" s="1"/>
  <c r="F145" i="7" s="1"/>
  <c r="E144" i="7"/>
  <c r="E143" i="7"/>
  <c r="E141" i="7"/>
  <c r="F141" i="7" s="1"/>
  <c r="E140" i="7"/>
  <c r="E139" i="7"/>
  <c r="D138" i="7"/>
  <c r="E138" i="7" s="1"/>
  <c r="E137" i="7"/>
  <c r="E135" i="7"/>
  <c r="E134" i="7"/>
  <c r="E133" i="7"/>
  <c r="E132" i="7"/>
  <c r="E130" i="7"/>
  <c r="E129" i="7"/>
  <c r="D128" i="7"/>
  <c r="E128" i="7" s="1"/>
  <c r="E127" i="7"/>
  <c r="E126" i="7"/>
  <c r="E125" i="7"/>
  <c r="E124" i="7"/>
  <c r="E123" i="7"/>
  <c r="E122" i="7"/>
  <c r="E120" i="7"/>
  <c r="F120" i="7" s="1"/>
  <c r="E119" i="7"/>
  <c r="E118" i="7"/>
  <c r="E117" i="7"/>
  <c r="E116" i="7"/>
  <c r="E114" i="7"/>
  <c r="E112" i="7"/>
  <c r="E111" i="7"/>
  <c r="E110" i="7"/>
  <c r="E106" i="7"/>
  <c r="F106" i="7" s="1"/>
  <c r="E105" i="7"/>
  <c r="F105" i="7" s="1"/>
  <c r="E104" i="7"/>
  <c r="F104" i="7" s="1"/>
  <c r="E103" i="7"/>
  <c r="E102" i="7"/>
  <c r="E101" i="7"/>
  <c r="E100" i="7"/>
  <c r="E99" i="7"/>
  <c r="E98" i="7"/>
  <c r="E96" i="7"/>
  <c r="E94" i="7"/>
  <c r="F94" i="7" s="1"/>
  <c r="E93" i="7"/>
  <c r="E92" i="7"/>
  <c r="E91" i="7"/>
  <c r="E90" i="7"/>
  <c r="E89" i="7"/>
  <c r="E88" i="7"/>
  <c r="E87" i="7"/>
  <c r="E86" i="7"/>
  <c r="E84" i="7"/>
  <c r="F84" i="7" s="1"/>
  <c r="E83" i="7"/>
  <c r="F83" i="7" s="1"/>
  <c r="E82" i="7"/>
  <c r="F82" i="7" s="1"/>
  <c r="E81" i="7"/>
  <c r="F81" i="7" s="1"/>
  <c r="E80" i="7"/>
  <c r="F80" i="7" s="1"/>
  <c r="E79" i="7"/>
  <c r="F79" i="7" s="1"/>
  <c r="E78" i="7"/>
  <c r="E77" i="7"/>
  <c r="E76" i="7"/>
  <c r="E73" i="7"/>
  <c r="E72" i="7"/>
  <c r="E71" i="7"/>
  <c r="E70" i="7"/>
  <c r="E69" i="7"/>
  <c r="E68" i="7"/>
  <c r="E67" i="7"/>
  <c r="E66" i="7"/>
  <c r="E65" i="7"/>
  <c r="E64" i="7"/>
  <c r="F62" i="7"/>
  <c r="E61" i="7"/>
  <c r="E60" i="7"/>
  <c r="E58" i="7"/>
  <c r="E56" i="7"/>
  <c r="E55" i="7"/>
  <c r="E54" i="7" s="1"/>
  <c r="E53" i="7"/>
  <c r="E52" i="7"/>
  <c r="E51" i="7" s="1"/>
  <c r="F51" i="7" s="1"/>
  <c r="E50" i="7"/>
  <c r="E49" i="7"/>
  <c r="E48" i="7"/>
  <c r="E46" i="7"/>
  <c r="F46" i="7" s="1"/>
  <c r="D45" i="7"/>
  <c r="E45" i="7" s="1"/>
  <c r="D44" i="7"/>
  <c r="E44" i="7" s="1"/>
  <c r="D43" i="7"/>
  <c r="E43" i="7" s="1"/>
  <c r="E42" i="7"/>
  <c r="D41" i="7"/>
  <c r="E41" i="7" s="1"/>
  <c r="D40" i="7"/>
  <c r="E40" i="7" s="1"/>
  <c r="D39" i="7"/>
  <c r="E39" i="7" s="1"/>
  <c r="D38" i="7"/>
  <c r="E38" i="7" s="1"/>
  <c r="D37" i="7"/>
  <c r="E37" i="7" s="1"/>
  <c r="D35" i="7"/>
  <c r="E35" i="7" s="1"/>
  <c r="D34" i="7"/>
  <c r="E34" i="7" s="1"/>
  <c r="E33" i="7"/>
  <c r="E32" i="7"/>
  <c r="E31" i="7"/>
  <c r="D30" i="7"/>
  <c r="E30" i="7" s="1"/>
  <c r="D29" i="7"/>
  <c r="E29" i="7" s="1"/>
  <c r="D28" i="7"/>
  <c r="E28" i="7" s="1"/>
  <c r="E27" i="7"/>
  <c r="E24" i="7"/>
  <c r="F24" i="7" s="1"/>
  <c r="E23" i="7"/>
  <c r="E22" i="7"/>
  <c r="E21" i="7"/>
  <c r="E20" i="7"/>
  <c r="E19" i="7"/>
  <c r="E18" i="7"/>
  <c r="E16" i="7"/>
  <c r="E15" i="7"/>
  <c r="E14" i="7"/>
  <c r="D13" i="7"/>
  <c r="E13" i="7" s="1"/>
  <c r="E12" i="7"/>
  <c r="E11" i="7"/>
  <c r="D26" i="7" s="1"/>
  <c r="E26" i="7" s="1"/>
  <c r="E311" i="6"/>
  <c r="F311" i="6" s="1"/>
  <c r="F310" i="6"/>
  <c r="F309" i="6" s="1"/>
  <c r="E310" i="6"/>
  <c r="E309" i="6"/>
  <c r="F307" i="6"/>
  <c r="E307" i="6"/>
  <c r="E306" i="6"/>
  <c r="E305" i="6"/>
  <c r="E304" i="6"/>
  <c r="E303" i="6"/>
  <c r="E302" i="6"/>
  <c r="E301" i="6"/>
  <c r="E300" i="6"/>
  <c r="E299" i="6"/>
  <c r="E298" i="6" s="1"/>
  <c r="F298" i="6" s="1"/>
  <c r="E297" i="6"/>
  <c r="F297" i="6" s="1"/>
  <c r="E296" i="6"/>
  <c r="F296" i="6" s="1"/>
  <c r="F295" i="6"/>
  <c r="E295" i="6"/>
  <c r="E294" i="6"/>
  <c r="E293" i="6"/>
  <c r="E292" i="6"/>
  <c r="E291" i="6"/>
  <c r="E290" i="6"/>
  <c r="E289" i="6"/>
  <c r="D289" i="6"/>
  <c r="E287" i="6"/>
  <c r="E286" i="6"/>
  <c r="E285" i="6"/>
  <c r="E284" i="6"/>
  <c r="E283" i="6"/>
  <c r="D282" i="6"/>
  <c r="E282" i="6" s="1"/>
  <c r="E281" i="6" s="1"/>
  <c r="F281" i="6" s="1"/>
  <c r="E280" i="6"/>
  <c r="E279" i="6"/>
  <c r="E278" i="6"/>
  <c r="F274" i="6"/>
  <c r="E274" i="6"/>
  <c r="E273" i="6"/>
  <c r="E272" i="6"/>
  <c r="E271" i="6"/>
  <c r="E270" i="6"/>
  <c r="E269" i="6"/>
  <c r="E268" i="6"/>
  <c r="E266" i="6"/>
  <c r="E265" i="6" s="1"/>
  <c r="F265" i="6" s="1"/>
  <c r="E264" i="6"/>
  <c r="F264" i="6" s="1"/>
  <c r="E263" i="6"/>
  <c r="F263" i="6" s="1"/>
  <c r="E262" i="6"/>
  <c r="E261" i="6"/>
  <c r="D260" i="6"/>
  <c r="E260" i="6" s="1"/>
  <c r="E259" i="6"/>
  <c r="D258" i="6"/>
  <c r="E258" i="6" s="1"/>
  <c r="E257" i="6"/>
  <c r="E255" i="6"/>
  <c r="E254" i="6"/>
  <c r="E253" i="6"/>
  <c r="D252" i="6"/>
  <c r="E252" i="6" s="1"/>
  <c r="D251" i="6"/>
  <c r="E251" i="6" s="1"/>
  <c r="E250" i="6"/>
  <c r="E248" i="6"/>
  <c r="E247" i="6"/>
  <c r="E246" i="6"/>
  <c r="E245" i="6"/>
  <c r="F241" i="6"/>
  <c r="E241" i="6"/>
  <c r="E240" i="6"/>
  <c r="F240" i="6" s="1"/>
  <c r="F239" i="6"/>
  <c r="E239" i="6"/>
  <c r="E238" i="6"/>
  <c r="F238" i="6" s="1"/>
  <c r="E237" i="6"/>
  <c r="E236" i="6"/>
  <c r="E235" i="6"/>
  <c r="E234" i="6" s="1"/>
  <c r="F234" i="6" s="1"/>
  <c r="E233" i="6"/>
  <c r="E232" i="6"/>
  <c r="E230" i="6"/>
  <c r="E228" i="6"/>
  <c r="E227" i="6"/>
  <c r="E225" i="6"/>
  <c r="F223" i="6"/>
  <c r="E222" i="6"/>
  <c r="E221" i="6"/>
  <c r="E220" i="6"/>
  <c r="E219" i="6"/>
  <c r="E218" i="6"/>
  <c r="D226" i="6" s="1"/>
  <c r="E226" i="6" s="1"/>
  <c r="E217" i="6"/>
  <c r="E213" i="6"/>
  <c r="F213" i="6" s="1"/>
  <c r="F212" i="6"/>
  <c r="E212" i="6"/>
  <c r="E209" i="6"/>
  <c r="F209" i="6" s="1"/>
  <c r="E208" i="6"/>
  <c r="E207" i="6"/>
  <c r="E206" i="6"/>
  <c r="E205" i="6"/>
  <c r="E204" i="6"/>
  <c r="E203" i="6"/>
  <c r="E201" i="6"/>
  <c r="E202" i="6" s="1"/>
  <c r="E199" i="6"/>
  <c r="F199" i="6" s="1"/>
  <c r="E198" i="6"/>
  <c r="E197" i="6"/>
  <c r="E196" i="6"/>
  <c r="E195" i="6"/>
  <c r="E194" i="6"/>
  <c r="E193" i="6"/>
  <c r="D192" i="6"/>
  <c r="E192" i="6" s="1"/>
  <c r="E190" i="6"/>
  <c r="E189" i="6"/>
  <c r="E188" i="6"/>
  <c r="E187" i="6"/>
  <c r="E186" i="6"/>
  <c r="E185" i="6"/>
  <c r="D184" i="6"/>
  <c r="E184" i="6" s="1"/>
  <c r="E182" i="6"/>
  <c r="E181" i="6"/>
  <c r="E180" i="6"/>
  <c r="E179" i="6" s="1"/>
  <c r="E175" i="6"/>
  <c r="F175" i="6" s="1"/>
  <c r="E174" i="6"/>
  <c r="E173" i="6"/>
  <c r="E172" i="6"/>
  <c r="E171" i="6"/>
  <c r="E170" i="6"/>
  <c r="E169" i="6"/>
  <c r="E141" i="6"/>
  <c r="E165" i="6"/>
  <c r="E164" i="6"/>
  <c r="E163" i="6"/>
  <c r="E162" i="6"/>
  <c r="E161" i="6"/>
  <c r="E160" i="6"/>
  <c r="E158" i="6"/>
  <c r="F158" i="6" s="1"/>
  <c r="E157" i="6"/>
  <c r="E156" i="6"/>
  <c r="E155" i="6" s="1"/>
  <c r="F155" i="6" s="1"/>
  <c r="E154" i="6"/>
  <c r="F154" i="6" s="1"/>
  <c r="E153" i="6"/>
  <c r="E152" i="6" s="1"/>
  <c r="F152" i="6" s="1"/>
  <c r="E151" i="6"/>
  <c r="E150" i="6"/>
  <c r="F148" i="6"/>
  <c r="E148" i="6"/>
  <c r="E147" i="6"/>
  <c r="E146" i="6"/>
  <c r="E145" i="6"/>
  <c r="D145" i="6"/>
  <c r="E144" i="6"/>
  <c r="E142" i="6"/>
  <c r="E140" i="6"/>
  <c r="E139" i="6"/>
  <c r="E137" i="6"/>
  <c r="E136" i="6"/>
  <c r="D135" i="6"/>
  <c r="E135" i="6" s="1"/>
  <c r="E134" i="6"/>
  <c r="E133" i="6"/>
  <c r="E132" i="6"/>
  <c r="E131" i="6"/>
  <c r="E130" i="6"/>
  <c r="E129" i="6"/>
  <c r="E127" i="6"/>
  <c r="F127" i="6" s="1"/>
  <c r="E126" i="6"/>
  <c r="E125" i="6"/>
  <c r="E124" i="6"/>
  <c r="E123" i="6"/>
  <c r="E121" i="6"/>
  <c r="E119" i="6"/>
  <c r="E118" i="6"/>
  <c r="E117" i="6"/>
  <c r="E116" i="6" s="1"/>
  <c r="E113" i="6"/>
  <c r="F113" i="6" s="1"/>
  <c r="E112" i="6"/>
  <c r="F112" i="6" s="1"/>
  <c r="E111" i="6"/>
  <c r="F111" i="6" s="1"/>
  <c r="E110" i="6"/>
  <c r="E109" i="6"/>
  <c r="E108" i="6"/>
  <c r="E107" i="6"/>
  <c r="E106" i="6"/>
  <c r="E105" i="6"/>
  <c r="E103" i="6"/>
  <c r="F101" i="6"/>
  <c r="E101" i="6"/>
  <c r="E100" i="6"/>
  <c r="E99" i="6"/>
  <c r="E98" i="6"/>
  <c r="E97" i="6"/>
  <c r="E96" i="6"/>
  <c r="E95" i="6"/>
  <c r="E94" i="6"/>
  <c r="E93" i="6"/>
  <c r="E91" i="6"/>
  <c r="F91" i="6" s="1"/>
  <c r="E90" i="6"/>
  <c r="F90" i="6" s="1"/>
  <c r="D89" i="6"/>
  <c r="E89" i="6" s="1"/>
  <c r="F89" i="6" s="1"/>
  <c r="E88" i="6"/>
  <c r="F88" i="6" s="1"/>
  <c r="E87" i="6"/>
  <c r="F87" i="6" s="1"/>
  <c r="D87" i="6"/>
  <c r="F86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69" i="6"/>
  <c r="F69" i="6" s="1"/>
  <c r="E68" i="6"/>
  <c r="E66" i="6" s="1"/>
  <c r="F66" i="6" s="1"/>
  <c r="E67" i="6"/>
  <c r="E65" i="6"/>
  <c r="E64" i="6"/>
  <c r="E63" i="6"/>
  <c r="E61" i="6"/>
  <c r="E60" i="6"/>
  <c r="E58" i="6"/>
  <c r="E57" i="6"/>
  <c r="E56" i="6"/>
  <c r="E55" i="6"/>
  <c r="E54" i="6"/>
  <c r="E53" i="6"/>
  <c r="E52" i="6"/>
  <c r="E51" i="6"/>
  <c r="E50" i="6"/>
  <c r="E49" i="6"/>
  <c r="E48" i="6"/>
  <c r="E47" i="6"/>
  <c r="F47" i="6" s="1"/>
  <c r="E46" i="6"/>
  <c r="F46" i="6" s="1"/>
  <c r="E45" i="6"/>
  <c r="D44" i="6"/>
  <c r="E44" i="6" s="1"/>
  <c r="E43" i="6"/>
  <c r="E42" i="6"/>
  <c r="E41" i="6"/>
  <c r="E40" i="6"/>
  <c r="E39" i="6"/>
  <c r="E38" i="6"/>
  <c r="E37" i="6"/>
  <c r="E35" i="6"/>
  <c r="E34" i="6"/>
  <c r="D34" i="6"/>
  <c r="E33" i="6"/>
  <c r="E32" i="6"/>
  <c r="E31" i="6"/>
  <c r="E30" i="6"/>
  <c r="E29" i="6"/>
  <c r="E28" i="6"/>
  <c r="E27" i="6"/>
  <c r="E26" i="6"/>
  <c r="D24" i="6"/>
  <c r="E24" i="6" s="1"/>
  <c r="F24" i="6" s="1"/>
  <c r="E23" i="6"/>
  <c r="E22" i="6"/>
  <c r="E21" i="6"/>
  <c r="E20" i="6"/>
  <c r="E19" i="6"/>
  <c r="E18" i="6"/>
  <c r="E17" i="6" s="1"/>
  <c r="E16" i="6"/>
  <c r="E15" i="6"/>
  <c r="E14" i="6"/>
  <c r="E13" i="6"/>
  <c r="E12" i="6"/>
  <c r="E11" i="6"/>
  <c r="E300" i="5"/>
  <c r="E248" i="5"/>
  <c r="E217" i="5"/>
  <c r="D188" i="5"/>
  <c r="D186" i="5"/>
  <c r="E186" i="5" s="1"/>
  <c r="D169" i="5"/>
  <c r="D142" i="5" s="1"/>
  <c r="E142" i="5" s="1"/>
  <c r="D167" i="5"/>
  <c r="D141" i="5" s="1"/>
  <c r="E141" i="5" s="1"/>
  <c r="D160" i="5"/>
  <c r="E160" i="5" s="1"/>
  <c r="D158" i="5"/>
  <c r="D147" i="5"/>
  <c r="D146" i="5"/>
  <c r="E146" i="5" s="1"/>
  <c r="D140" i="5"/>
  <c r="D139" i="5"/>
  <c r="D137" i="5"/>
  <c r="D136" i="5"/>
  <c r="E136" i="5" s="1"/>
  <c r="D133" i="5"/>
  <c r="D132" i="5"/>
  <c r="E132" i="5" s="1"/>
  <c r="D131" i="5"/>
  <c r="D130" i="5"/>
  <c r="E130" i="5" s="1"/>
  <c r="D129" i="5"/>
  <c r="D127" i="5"/>
  <c r="D121" i="5"/>
  <c r="D117" i="5"/>
  <c r="D111" i="5"/>
  <c r="E111" i="5" s="1"/>
  <c r="F111" i="5" s="1"/>
  <c r="D109" i="5"/>
  <c r="E109" i="5" s="1"/>
  <c r="D110" i="5"/>
  <c r="D108" i="5"/>
  <c r="D100" i="5"/>
  <c r="E100" i="5" s="1"/>
  <c r="D99" i="5"/>
  <c r="E99" i="5" s="1"/>
  <c r="D98" i="5"/>
  <c r="D97" i="5"/>
  <c r="D96" i="5"/>
  <c r="E96" i="5" s="1"/>
  <c r="D93" i="5"/>
  <c r="E93" i="5" s="1"/>
  <c r="D45" i="5"/>
  <c r="D41" i="5"/>
  <c r="D43" i="5"/>
  <c r="E43" i="5" s="1"/>
  <c r="D40" i="5"/>
  <c r="D39" i="5"/>
  <c r="E39" i="5" s="1"/>
  <c r="D38" i="5"/>
  <c r="E38" i="5" s="1"/>
  <c r="D37" i="5"/>
  <c r="D35" i="5"/>
  <c r="E35" i="5" s="1"/>
  <c r="D33" i="5"/>
  <c r="E33" i="5" s="1"/>
  <c r="D30" i="5"/>
  <c r="D29" i="5"/>
  <c r="E29" i="5" s="1"/>
  <c r="D28" i="5"/>
  <c r="D27" i="5"/>
  <c r="D26" i="5"/>
  <c r="D24" i="5"/>
  <c r="D18" i="5"/>
  <c r="E18" i="5" s="1"/>
  <c r="D11" i="5"/>
  <c r="D90" i="5"/>
  <c r="E90" i="5" s="1"/>
  <c r="F90" i="5" s="1"/>
  <c r="D105" i="5"/>
  <c r="E105" i="5" s="1"/>
  <c r="D103" i="5"/>
  <c r="E103" i="5" s="1"/>
  <c r="E110" i="5"/>
  <c r="E108" i="5"/>
  <c r="D91" i="5"/>
  <c r="E91" i="5" s="1"/>
  <c r="F91" i="5" s="1"/>
  <c r="D89" i="5"/>
  <c r="D87" i="5"/>
  <c r="D83" i="5"/>
  <c r="D79" i="5"/>
  <c r="E79" i="5" s="1"/>
  <c r="D76" i="5"/>
  <c r="E76" i="5" s="1"/>
  <c r="D74" i="5"/>
  <c r="E74" i="5" s="1"/>
  <c r="D75" i="5"/>
  <c r="D72" i="5"/>
  <c r="E72" i="5" s="1"/>
  <c r="D69" i="5"/>
  <c r="E69" i="5" s="1"/>
  <c r="F69" i="5" s="1"/>
  <c r="D65" i="5"/>
  <c r="D64" i="5"/>
  <c r="D63" i="5"/>
  <c r="E28" i="5"/>
  <c r="D22" i="5"/>
  <c r="D13" i="5"/>
  <c r="E311" i="5"/>
  <c r="F311" i="5" s="1"/>
  <c r="E310" i="5"/>
  <c r="F310" i="5" s="1"/>
  <c r="E307" i="5"/>
  <c r="F307" i="5" s="1"/>
  <c r="E306" i="5"/>
  <c r="E305" i="5"/>
  <c r="E304" i="5"/>
  <c r="E303" i="5"/>
  <c r="E302" i="5"/>
  <c r="E301" i="5"/>
  <c r="E299" i="5"/>
  <c r="E297" i="5"/>
  <c r="F297" i="5" s="1"/>
  <c r="E296" i="5"/>
  <c r="F296" i="5" s="1"/>
  <c r="E295" i="5"/>
  <c r="F295" i="5" s="1"/>
  <c r="E294" i="5"/>
  <c r="E293" i="5"/>
  <c r="E292" i="5"/>
  <c r="E291" i="5"/>
  <c r="E290" i="5"/>
  <c r="D289" i="5"/>
  <c r="E289" i="5" s="1"/>
  <c r="E287" i="5"/>
  <c r="E286" i="5"/>
  <c r="E285" i="5"/>
  <c r="E284" i="5"/>
  <c r="E283" i="5"/>
  <c r="D282" i="5"/>
  <c r="E282" i="5" s="1"/>
  <c r="E280" i="5"/>
  <c r="E279" i="5"/>
  <c r="E278" i="5"/>
  <c r="E274" i="5"/>
  <c r="F274" i="5" s="1"/>
  <c r="E273" i="5"/>
  <c r="E272" i="5"/>
  <c r="E271" i="5"/>
  <c r="E270" i="5"/>
  <c r="E269" i="5"/>
  <c r="E268" i="5"/>
  <c r="E266" i="5"/>
  <c r="E264" i="5"/>
  <c r="F264" i="5" s="1"/>
  <c r="F263" i="5"/>
  <c r="E263" i="5"/>
  <c r="E262" i="5"/>
  <c r="D260" i="5"/>
  <c r="E260" i="5" s="1"/>
  <c r="D259" i="5"/>
  <c r="E259" i="5" s="1"/>
  <c r="D258" i="5"/>
  <c r="E258" i="5" s="1"/>
  <c r="E257" i="5"/>
  <c r="E255" i="5"/>
  <c r="D254" i="5"/>
  <c r="E254" i="5" s="1"/>
  <c r="D253" i="5"/>
  <c r="E253" i="5" s="1"/>
  <c r="D252" i="5"/>
  <c r="E252" i="5" s="1"/>
  <c r="D251" i="5"/>
  <c r="E251" i="5" s="1"/>
  <c r="E250" i="5"/>
  <c r="E247" i="5"/>
  <c r="E246" i="5"/>
  <c r="E245" i="5"/>
  <c r="E241" i="5"/>
  <c r="F241" i="5" s="1"/>
  <c r="E240" i="5"/>
  <c r="F240" i="5" s="1"/>
  <c r="E239" i="5"/>
  <c r="F239" i="5" s="1"/>
  <c r="E238" i="5"/>
  <c r="F238" i="5" s="1"/>
  <c r="E237" i="5"/>
  <c r="E236" i="5"/>
  <c r="E235" i="5"/>
  <c r="E232" i="5"/>
  <c r="E227" i="5"/>
  <c r="E228" i="5"/>
  <c r="E222" i="5"/>
  <c r="E221" i="5"/>
  <c r="E220" i="5"/>
  <c r="E219" i="5"/>
  <c r="E230" i="5"/>
  <c r="E212" i="5"/>
  <c r="E209" i="5"/>
  <c r="F209" i="5" s="1"/>
  <c r="E208" i="5"/>
  <c r="E207" i="5"/>
  <c r="E206" i="5"/>
  <c r="E205" i="5"/>
  <c r="E204" i="5"/>
  <c r="E203" i="5"/>
  <c r="E201" i="5"/>
  <c r="E199" i="5"/>
  <c r="F199" i="5" s="1"/>
  <c r="E198" i="5"/>
  <c r="E197" i="5"/>
  <c r="E196" i="5"/>
  <c r="E194" i="5"/>
  <c r="E193" i="5"/>
  <c r="D192" i="5"/>
  <c r="E192" i="5" s="1"/>
  <c r="E190" i="5"/>
  <c r="E189" i="5"/>
  <c r="E188" i="5"/>
  <c r="E185" i="5"/>
  <c r="D184" i="5"/>
  <c r="E184" i="5" s="1"/>
  <c r="E182" i="5"/>
  <c r="E181" i="5"/>
  <c r="E180" i="5"/>
  <c r="E175" i="5"/>
  <c r="F175" i="5" s="1"/>
  <c r="E174" i="5"/>
  <c r="E173" i="5"/>
  <c r="E172" i="5"/>
  <c r="E171" i="5"/>
  <c r="E170" i="5"/>
  <c r="E169" i="5"/>
  <c r="E167" i="5"/>
  <c r="E165" i="5"/>
  <c r="E164" i="5"/>
  <c r="E163" i="5"/>
  <c r="E162" i="5"/>
  <c r="E161" i="5"/>
  <c r="E158" i="5"/>
  <c r="F158" i="5" s="1"/>
  <c r="E157" i="5"/>
  <c r="E156" i="5"/>
  <c r="E154" i="5"/>
  <c r="F154" i="5" s="1"/>
  <c r="E153" i="5"/>
  <c r="E152" i="5" s="1"/>
  <c r="F152" i="5" s="1"/>
  <c r="E151" i="5"/>
  <c r="E150" i="5"/>
  <c r="F148" i="5"/>
  <c r="E148" i="5"/>
  <c r="D145" i="5"/>
  <c r="E145" i="5" s="1"/>
  <c r="E144" i="5"/>
  <c r="D135" i="5"/>
  <c r="E135" i="5" s="1"/>
  <c r="E134" i="5"/>
  <c r="E131" i="5"/>
  <c r="E127" i="5"/>
  <c r="F127" i="5" s="1"/>
  <c r="E126" i="5"/>
  <c r="E125" i="5"/>
  <c r="E124" i="5"/>
  <c r="E123" i="5"/>
  <c r="E119" i="5"/>
  <c r="E118" i="5"/>
  <c r="E117" i="5"/>
  <c r="E113" i="5"/>
  <c r="F113" i="5" s="1"/>
  <c r="E112" i="5"/>
  <c r="F112" i="5" s="1"/>
  <c r="E107" i="5"/>
  <c r="E106" i="5"/>
  <c r="E101" i="5"/>
  <c r="F101" i="5" s="1"/>
  <c r="E98" i="5"/>
  <c r="E97" i="5"/>
  <c r="E95" i="5"/>
  <c r="E94" i="5"/>
  <c r="E89" i="5"/>
  <c r="F89" i="5" s="1"/>
  <c r="E88" i="5"/>
  <c r="F88" i="5" s="1"/>
  <c r="E87" i="5"/>
  <c r="F87" i="5" s="1"/>
  <c r="E86" i="5"/>
  <c r="F86" i="5" s="1"/>
  <c r="E85" i="5"/>
  <c r="E84" i="5"/>
  <c r="E83" i="5"/>
  <c r="E82" i="5"/>
  <c r="E81" i="5"/>
  <c r="E80" i="5"/>
  <c r="E78" i="5"/>
  <c r="E77" i="5"/>
  <c r="E75" i="5"/>
  <c r="E73" i="5"/>
  <c r="E71" i="5"/>
  <c r="E68" i="5"/>
  <c r="E67" i="5"/>
  <c r="E65" i="5"/>
  <c r="E64" i="5"/>
  <c r="E63" i="5"/>
  <c r="E61" i="5"/>
  <c r="E60" i="5"/>
  <c r="E58" i="5"/>
  <c r="E57" i="5"/>
  <c r="E56" i="5"/>
  <c r="E55" i="5"/>
  <c r="E54" i="5"/>
  <c r="E53" i="5"/>
  <c r="E52" i="5"/>
  <c r="E51" i="5"/>
  <c r="E50" i="5"/>
  <c r="E49" i="5"/>
  <c r="E48" i="5"/>
  <c r="E46" i="5"/>
  <c r="F46" i="5" s="1"/>
  <c r="D44" i="5"/>
  <c r="E44" i="5" s="1"/>
  <c r="E42" i="5"/>
  <c r="E40" i="5"/>
  <c r="D34" i="5"/>
  <c r="E34" i="5" s="1"/>
  <c r="E32" i="5"/>
  <c r="E31" i="5"/>
  <c r="E24" i="5"/>
  <c r="F24" i="5" s="1"/>
  <c r="E23" i="5"/>
  <c r="E19" i="5" s="1"/>
  <c r="E22" i="5"/>
  <c r="E21" i="5"/>
  <c r="E20" i="5"/>
  <c r="E16" i="5"/>
  <c r="E15" i="5"/>
  <c r="E14" i="5"/>
  <c r="E13" i="5"/>
  <c r="E12" i="5"/>
  <c r="E11" i="3"/>
  <c r="C188" i="2"/>
  <c r="E190" i="2" s="1"/>
  <c r="E192" i="2" s="1"/>
  <c r="J178" i="2"/>
  <c r="J181" i="2" s="1"/>
  <c r="J169" i="2"/>
  <c r="J161" i="2"/>
  <c r="J151" i="2"/>
  <c r="J127" i="2"/>
  <c r="J109" i="2"/>
  <c r="J101" i="2"/>
  <c r="J119" i="2" s="1"/>
  <c r="J98" i="2"/>
  <c r="J74" i="2"/>
  <c r="D64" i="2"/>
  <c r="E50" i="2"/>
  <c r="D50" i="2"/>
  <c r="C50" i="2"/>
  <c r="G50" i="2" s="1"/>
  <c r="G39" i="2"/>
  <c r="E39" i="2"/>
  <c r="D39" i="2"/>
  <c r="C39" i="2"/>
  <c r="G25" i="2"/>
  <c r="E25" i="2"/>
  <c r="D25" i="2"/>
  <c r="C25" i="2"/>
  <c r="J9" i="2"/>
  <c r="E9" i="2"/>
  <c r="J8" i="2"/>
  <c r="J10" i="2" s="1"/>
  <c r="E8" i="2"/>
  <c r="J7" i="2"/>
  <c r="E7" i="2"/>
  <c r="F275" i="10" l="1"/>
  <c r="E275" i="10"/>
  <c r="F243" i="10"/>
  <c r="F179" i="10"/>
  <c r="F177" i="10" s="1"/>
  <c r="E177" i="10"/>
  <c r="F216" i="10"/>
  <c r="D213" i="10"/>
  <c r="E213" i="10" s="1"/>
  <c r="F115" i="10"/>
  <c r="D226" i="10"/>
  <c r="E226" i="10" s="1"/>
  <c r="E224" i="10" s="1"/>
  <c r="D231" i="10"/>
  <c r="E231" i="10" s="1"/>
  <c r="E229" i="10" s="1"/>
  <c r="F229" i="10" s="1"/>
  <c r="E243" i="10"/>
  <c r="E115" i="10"/>
  <c r="E9" i="10"/>
  <c r="F9" i="10"/>
  <c r="E102" i="11"/>
  <c r="F135" i="11"/>
  <c r="E106" i="11"/>
  <c r="F107" i="11"/>
  <c r="F106" i="11" s="1"/>
  <c r="F9" i="11"/>
  <c r="E9" i="11"/>
  <c r="D104" i="6"/>
  <c r="E104" i="6" s="1"/>
  <c r="E102" i="6" s="1"/>
  <c r="F102" i="6" s="1"/>
  <c r="F9" i="6" s="1"/>
  <c r="F313" i="6" s="1"/>
  <c r="E109" i="7"/>
  <c r="F109" i="7" s="1"/>
  <c r="E142" i="7"/>
  <c r="F142" i="7" s="1"/>
  <c r="E209" i="7"/>
  <c r="F209" i="7" s="1"/>
  <c r="E25" i="7"/>
  <c r="F25" i="7" s="1"/>
  <c r="D115" i="7"/>
  <c r="E115" i="7" s="1"/>
  <c r="E136" i="7" s="1"/>
  <c r="E131" i="7" s="1"/>
  <c r="F131" i="7" s="1"/>
  <c r="E217" i="7"/>
  <c r="F217" i="7" s="1"/>
  <c r="D224" i="7"/>
  <c r="E224" i="7" s="1"/>
  <c r="E222" i="7" s="1"/>
  <c r="F222" i="7" s="1"/>
  <c r="E302" i="7"/>
  <c r="E204" i="7"/>
  <c r="E270" i="7"/>
  <c r="F302" i="7"/>
  <c r="E172" i="7"/>
  <c r="F172" i="7" s="1"/>
  <c r="E237" i="7"/>
  <c r="F237" i="7" s="1"/>
  <c r="E17" i="7"/>
  <c r="F17" i="7" s="1"/>
  <c r="E258" i="7"/>
  <c r="F258" i="7" s="1"/>
  <c r="E281" i="7"/>
  <c r="F281" i="7" s="1"/>
  <c r="E36" i="7"/>
  <c r="F36" i="7" s="1"/>
  <c r="E59" i="7"/>
  <c r="F59" i="7" s="1"/>
  <c r="E63" i="7"/>
  <c r="F63" i="7" s="1"/>
  <c r="E85" i="7"/>
  <c r="F85" i="7" s="1"/>
  <c r="E227" i="7"/>
  <c r="F227" i="7" s="1"/>
  <c r="E291" i="7"/>
  <c r="F291" i="7" s="1"/>
  <c r="D161" i="7"/>
  <c r="E161" i="7"/>
  <c r="E159" i="7" s="1"/>
  <c r="F159" i="7" s="1"/>
  <c r="E152" i="7"/>
  <c r="F152" i="7" s="1"/>
  <c r="E288" i="6"/>
  <c r="F288" i="6" s="1"/>
  <c r="E277" i="6"/>
  <c r="F277" i="6" s="1"/>
  <c r="E256" i="6"/>
  <c r="F256" i="6" s="1"/>
  <c r="E244" i="6"/>
  <c r="F244" i="6" s="1"/>
  <c r="E224" i="6"/>
  <c r="F224" i="6" s="1"/>
  <c r="F211" i="6"/>
  <c r="E211" i="6"/>
  <c r="E200" i="6"/>
  <c r="F200" i="6" s="1"/>
  <c r="E191" i="6"/>
  <c r="F191" i="6" s="1"/>
  <c r="E159" i="6"/>
  <c r="F159" i="6" s="1"/>
  <c r="E149" i="6"/>
  <c r="F149" i="6" s="1"/>
  <c r="E25" i="6"/>
  <c r="F25" i="6" s="1"/>
  <c r="E36" i="6"/>
  <c r="F36" i="6" s="1"/>
  <c r="E70" i="6"/>
  <c r="F70" i="6" s="1"/>
  <c r="E62" i="6"/>
  <c r="F62" i="6" s="1"/>
  <c r="E59" i="6"/>
  <c r="F59" i="6" s="1"/>
  <c r="E92" i="6"/>
  <c r="F92" i="6" s="1"/>
  <c r="D97" i="7"/>
  <c r="E97" i="7" s="1"/>
  <c r="E95" i="7" s="1"/>
  <c r="F95" i="7" s="1"/>
  <c r="E274" i="7"/>
  <c r="F274" i="7" s="1"/>
  <c r="E10" i="7"/>
  <c r="F54" i="7"/>
  <c r="E176" i="7"/>
  <c r="F176" i="7" s="1"/>
  <c r="E47" i="7"/>
  <c r="F47" i="7" s="1"/>
  <c r="E121" i="7"/>
  <c r="F121" i="7" s="1"/>
  <c r="E184" i="7"/>
  <c r="F184" i="7" s="1"/>
  <c r="D195" i="7"/>
  <c r="E195" i="7" s="1"/>
  <c r="E193" i="7" s="1"/>
  <c r="E242" i="7"/>
  <c r="F242" i="7" s="1"/>
  <c r="E249" i="7"/>
  <c r="F249" i="7" s="1"/>
  <c r="F205" i="7"/>
  <c r="F204" i="7" s="1"/>
  <c r="E66" i="5"/>
  <c r="F66" i="5" s="1"/>
  <c r="E155" i="5"/>
  <c r="F155" i="5" s="1"/>
  <c r="F116" i="6"/>
  <c r="F179" i="6"/>
  <c r="E128" i="6"/>
  <c r="F128" i="6" s="1"/>
  <c r="E249" i="6"/>
  <c r="F249" i="6" s="1"/>
  <c r="E10" i="6"/>
  <c r="D122" i="6"/>
  <c r="E122" i="6" s="1"/>
  <c r="E120" i="6" s="1"/>
  <c r="F120" i="6" s="1"/>
  <c r="E183" i="6"/>
  <c r="F183" i="6" s="1"/>
  <c r="E167" i="6"/>
  <c r="E216" i="6"/>
  <c r="F216" i="6" s="1"/>
  <c r="D231" i="6"/>
  <c r="E231" i="6" s="1"/>
  <c r="E229" i="6" s="1"/>
  <c r="E298" i="5"/>
  <c r="F298" i="5" s="1"/>
  <c r="E277" i="5"/>
  <c r="F277" i="5" s="1"/>
  <c r="E288" i="5"/>
  <c r="F288" i="5" s="1"/>
  <c r="E249" i="5"/>
  <c r="F249" i="5" s="1"/>
  <c r="E265" i="5"/>
  <c r="F265" i="5" s="1"/>
  <c r="D202" i="5"/>
  <c r="E202" i="5" s="1"/>
  <c r="E200" i="5" s="1"/>
  <c r="F200" i="5" s="1"/>
  <c r="E234" i="5"/>
  <c r="F234" i="5" s="1"/>
  <c r="E309" i="5"/>
  <c r="F309" i="5"/>
  <c r="E244" i="5"/>
  <c r="F244" i="5" s="1"/>
  <c r="E261" i="5"/>
  <c r="E256" i="5" s="1"/>
  <c r="E179" i="5"/>
  <c r="F179" i="5" s="1"/>
  <c r="E218" i="5"/>
  <c r="E159" i="5"/>
  <c r="F159" i="5" s="1"/>
  <c r="E149" i="5"/>
  <c r="F149" i="5" s="1"/>
  <c r="E147" i="5"/>
  <c r="E140" i="5"/>
  <c r="E139" i="5"/>
  <c r="E137" i="5"/>
  <c r="E121" i="5"/>
  <c r="E116" i="5"/>
  <c r="F116" i="5" s="1"/>
  <c r="E129" i="5"/>
  <c r="D104" i="5"/>
  <c r="E104" i="5" s="1"/>
  <c r="E102" i="5" s="1"/>
  <c r="F102" i="5" s="1"/>
  <c r="E92" i="5"/>
  <c r="F92" i="5" s="1"/>
  <c r="E70" i="5"/>
  <c r="F70" i="5" s="1"/>
  <c r="E62" i="5"/>
  <c r="F62" i="5" s="1"/>
  <c r="E59" i="5"/>
  <c r="F59" i="5" s="1"/>
  <c r="E47" i="5"/>
  <c r="F47" i="5" s="1"/>
  <c r="E45" i="5"/>
  <c r="E37" i="5"/>
  <c r="E27" i="5"/>
  <c r="E11" i="5"/>
  <c r="E10" i="5" s="1"/>
  <c r="F10" i="5" s="1"/>
  <c r="E26" i="5"/>
  <c r="E17" i="5"/>
  <c r="E41" i="5"/>
  <c r="E30" i="5"/>
  <c r="E195" i="5"/>
  <c r="E191" i="5" s="1"/>
  <c r="F191" i="5" s="1"/>
  <c r="E187" i="5"/>
  <c r="E183" i="5" s="1"/>
  <c r="F183" i="5" s="1"/>
  <c r="E281" i="5"/>
  <c r="F281" i="5" s="1"/>
  <c r="D168" i="5"/>
  <c r="E168" i="5" s="1"/>
  <c r="F212" i="5"/>
  <c r="E223" i="5"/>
  <c r="F223" i="5" s="1"/>
  <c r="E225" i="5"/>
  <c r="D233" i="5"/>
  <c r="E233" i="5" s="1"/>
  <c r="E10" i="2"/>
  <c r="F186" i="2"/>
  <c r="J73" i="2"/>
  <c r="J126" i="2"/>
  <c r="F185" i="2"/>
  <c r="F224" i="10" l="1"/>
  <c r="F215" i="10" s="1"/>
  <c r="E215" i="10"/>
  <c r="F213" i="10"/>
  <c r="F211" i="10" s="1"/>
  <c r="E211" i="10"/>
  <c r="F7" i="11"/>
  <c r="F168" i="11"/>
  <c r="E168" i="11"/>
  <c r="E7" i="11"/>
  <c r="E269" i="7"/>
  <c r="F270" i="7"/>
  <c r="F269" i="7" s="1"/>
  <c r="F208" i="7"/>
  <c r="E208" i="7"/>
  <c r="E113" i="7"/>
  <c r="F113" i="7" s="1"/>
  <c r="F108" i="7" s="1"/>
  <c r="E236" i="7"/>
  <c r="F236" i="7"/>
  <c r="E276" i="6"/>
  <c r="F276" i="6"/>
  <c r="E243" i="6"/>
  <c r="F177" i="6"/>
  <c r="E177" i="6"/>
  <c r="F193" i="7"/>
  <c r="E170" i="7"/>
  <c r="F10" i="7"/>
  <c r="F9" i="7" s="1"/>
  <c r="E9" i="7"/>
  <c r="F170" i="7"/>
  <c r="F229" i="6"/>
  <c r="D168" i="6"/>
  <c r="E168" i="6" s="1"/>
  <c r="E166" i="6" s="1"/>
  <c r="F166" i="6" s="1"/>
  <c r="E9" i="6"/>
  <c r="E313" i="6" s="1"/>
  <c r="F243" i="6"/>
  <c r="F256" i="5"/>
  <c r="F243" i="5" s="1"/>
  <c r="E243" i="5"/>
  <c r="D231" i="5"/>
  <c r="E231" i="5" s="1"/>
  <c r="E229" i="5" s="1"/>
  <c r="F229" i="5" s="1"/>
  <c r="D226" i="5"/>
  <c r="E226" i="5" s="1"/>
  <c r="E224" i="5" s="1"/>
  <c r="E166" i="5"/>
  <c r="F166" i="5" s="1"/>
  <c r="D122" i="5"/>
  <c r="E122" i="5" s="1"/>
  <c r="D143" i="5" s="1"/>
  <c r="E143" i="5" s="1"/>
  <c r="E138" i="5" s="1"/>
  <c r="E36" i="5"/>
  <c r="F36" i="5" s="1"/>
  <c r="E25" i="5"/>
  <c r="F25" i="5" s="1"/>
  <c r="E177" i="5"/>
  <c r="F177" i="5"/>
  <c r="E213" i="5"/>
  <c r="F276" i="5"/>
  <c r="E133" i="5"/>
  <c r="E128" i="5" s="1"/>
  <c r="F128" i="5" s="1"/>
  <c r="F216" i="5"/>
  <c r="E276" i="5"/>
  <c r="F187" i="2"/>
  <c r="E312" i="10" l="1"/>
  <c r="F312" i="10"/>
  <c r="E7" i="10"/>
  <c r="F7" i="10"/>
  <c r="E108" i="7"/>
  <c r="E306" i="7" s="1"/>
  <c r="F306" i="7"/>
  <c r="F7" i="7"/>
  <c r="E143" i="6"/>
  <c r="E138" i="6" s="1"/>
  <c r="E120" i="5"/>
  <c r="F120" i="5" s="1"/>
  <c r="F224" i="5"/>
  <c r="F9" i="5"/>
  <c r="F313" i="5" s="1"/>
  <c r="E9" i="5"/>
  <c r="F138" i="5"/>
  <c r="F213" i="5"/>
  <c r="F211" i="5" s="1"/>
  <c r="E211" i="5"/>
  <c r="E7" i="7" l="1"/>
  <c r="E115" i="5"/>
  <c r="E313" i="5" s="1"/>
  <c r="F115" i="5"/>
  <c r="F7" i="5" s="1"/>
  <c r="F138" i="6"/>
  <c r="F115" i="6" s="1"/>
  <c r="E115" i="6"/>
  <c r="E7" i="5" l="1"/>
  <c r="E7" i="6"/>
  <c r="F7" i="6"/>
</calcChain>
</file>

<file path=xl/sharedStrings.xml><?xml version="1.0" encoding="utf-8"?>
<sst xmlns="http://schemas.openxmlformats.org/spreadsheetml/2006/main" count="1715" uniqueCount="368">
  <si>
    <t>SZKOŁA PODSTAWOWA NR 1</t>
  </si>
  <si>
    <t>PRZEDSZKOLE NR 1</t>
  </si>
  <si>
    <t>ZATRUDNIENIE</t>
  </si>
  <si>
    <t>ŁĄCZNIE</t>
  </si>
  <si>
    <t>PRA.NIEPEDAGOGICZNI</t>
  </si>
  <si>
    <t>SP1</t>
  </si>
  <si>
    <t>ZSP</t>
  </si>
  <si>
    <t>P1</t>
  </si>
  <si>
    <t>N-LE</t>
  </si>
  <si>
    <t xml:space="preserve">Liczba pracowników została pomniejszona o osoby , którym przysługuje już lub będzie przysługiwało w roku 2025 prawo do emerytury oraz o nauczycieli , dla których nasze placówki są dodatkowym żródłem dochodu, </t>
  </si>
  <si>
    <t>i pracowników , którzy są zatrudnieni na zastępstwo.</t>
  </si>
  <si>
    <t>Subwencja z założenia ma pokrywać jedynie wynagrodzenia nauczycieli, bez dodatków wiejskich, "13", nagdodzin, funduszu na doskonalenie zawodowe, kosztów pracodawcy(ZUS, US)</t>
  </si>
  <si>
    <t>łącznie</t>
  </si>
  <si>
    <t>Subwencja na rok 2024 w kwocie 5 742 589 zł, pokrywa za tym w pełni kwoty brutto wynagrodzeń nauczycieli.</t>
  </si>
  <si>
    <t>Koszty wynagrodzeń pracowników, pochodne od wynagrodzeń ,zfśs, doskonalenie zawodowe n-li</t>
  </si>
  <si>
    <t>Wynagrodzenie brutto n-li</t>
  </si>
  <si>
    <t>PŁACA ZASADNICZA i KOSZTY PRACOWNIKA</t>
  </si>
  <si>
    <t>Spodziewane oszczędności:</t>
  </si>
  <si>
    <t>WYNAGRODZENIA N-LE</t>
  </si>
  <si>
    <t>WYNAGRODZENIA NIEPEDAGOGICZNI</t>
  </si>
  <si>
    <t>KOSZTY UTRZYMANIA OBIEKTÓW</t>
  </si>
  <si>
    <t>ŁĄCZNA KWOTA</t>
  </si>
  <si>
    <t>RAZEM</t>
  </si>
  <si>
    <t>Powyższa kwota zawiera wszystkie koszty związane z zatrudnieniem pracowników niepedagogicznych oraz nauczycieli, ale bez kosztów utrzymania placówki oraz zakupu produktów żywnościowych .</t>
  </si>
  <si>
    <t>Przeniesienie wszystkich oddziałów przedszkolnych do jednego budynku powinno skutkować znacznym obniżeniem kosztów.</t>
  </si>
  <si>
    <t xml:space="preserve">Planowany budżet na rok 2025 dla Przedszkola nr 1 wynosi 2 283 320 zł </t>
  </si>
  <si>
    <t>zakup energii</t>
  </si>
  <si>
    <t xml:space="preserve">usł.remontowe </t>
  </si>
  <si>
    <t>usł.pozostałe (przeglądy, bhp, legitymacje, ksero)</t>
  </si>
  <si>
    <t>ubezpieczenie</t>
  </si>
  <si>
    <t>razem:</t>
  </si>
  <si>
    <t>usł.telekom.</t>
  </si>
  <si>
    <t>zak.mater.</t>
  </si>
  <si>
    <t xml:space="preserve">Kwota 130 800 zł jest sumą kosztów utrymania budynków przedszkolnych, po połaczeniu jednostek stanie się to częściowo oszczędności Gminy.                                                        </t>
  </si>
  <si>
    <t xml:space="preserve">90 000 zł przeznaczone na zakup energi były by realną kwotą oszczędności, ponieważ są to pieniądze przeznaczone na prąd,gaz oraz ogrzewanie.  </t>
  </si>
  <si>
    <t>Zakup energii</t>
  </si>
  <si>
    <t>Zakup usług zdrowotnych</t>
  </si>
  <si>
    <t>Zakup usług pozostałych</t>
  </si>
  <si>
    <t>Wpłaty na PPK finansowane przez podmiot zatrudniający</t>
  </si>
  <si>
    <t>Wynagrodzenia osobowe nauczycieli</t>
  </si>
  <si>
    <t>Dodatkowe wynagrodzenie roczne</t>
  </si>
  <si>
    <t>Zakup środków żywności</t>
  </si>
  <si>
    <t>Zakup materiałów i wyposażenia</t>
  </si>
  <si>
    <t>Dział</t>
  </si>
  <si>
    <t>Rozdział</t>
  </si>
  <si>
    <t>Paragraf</t>
  </si>
  <si>
    <t>Treść</t>
  </si>
  <si>
    <t>Wartość</t>
  </si>
  <si>
    <t>801</t>
  </si>
  <si>
    <t/>
  </si>
  <si>
    <t>Oświata i wychowanie</t>
  </si>
  <si>
    <t>80104</t>
  </si>
  <si>
    <t xml:space="preserve">Przedszkola </t>
  </si>
  <si>
    <t>Wydatki osobowe niezaliczone do wynagrodzeń</t>
  </si>
  <si>
    <t>4010</t>
  </si>
  <si>
    <t>Wynagrodzenia osobowe pracowników</t>
  </si>
  <si>
    <t>4040</t>
  </si>
  <si>
    <t>4110</t>
  </si>
  <si>
    <t>Składki na ubezpieczenia społeczne</t>
  </si>
  <si>
    <t>4120</t>
  </si>
  <si>
    <t>Składki na Fundusz Pracy oraz Fundusz Solidarnościowy</t>
  </si>
  <si>
    <t>4210</t>
  </si>
  <si>
    <t>4240</t>
  </si>
  <si>
    <t>Zakup środków dydaktycznych i książek</t>
  </si>
  <si>
    <t>4260</t>
  </si>
  <si>
    <t>4270</t>
  </si>
  <si>
    <t>Zakup usług remontowych</t>
  </si>
  <si>
    <t>4280</t>
  </si>
  <si>
    <t>4300</t>
  </si>
  <si>
    <t>4360</t>
  </si>
  <si>
    <t>Opłaty z tytułu zakupu usług telekomunikacyjnych</t>
  </si>
  <si>
    <t>Podróże służbowe krajowe</t>
  </si>
  <si>
    <t>Różne opłaty i składki</t>
  </si>
  <si>
    <t>Odpisy na zakładowy fundusz świadczeń socjalnych</t>
  </si>
  <si>
    <t>4700</t>
  </si>
  <si>
    <t xml:space="preserve">Szkolenia pracowników niebędących członkami korpusu służby cywilnej </t>
  </si>
  <si>
    <t>4710</t>
  </si>
  <si>
    <t>4790</t>
  </si>
  <si>
    <t>80146</t>
  </si>
  <si>
    <t>Dokształcanie i doskonalenie nauczycieli</t>
  </si>
  <si>
    <t>80148</t>
  </si>
  <si>
    <t>Stołówki szkolne i przedszkolne</t>
  </si>
  <si>
    <t>80149</t>
  </si>
  <si>
    <t>Realizacja zadań wymagających stosowania specjalnej organizacji nauki i metod pracy dla dzieci w przedszkolach, oddziałach przedszkolnych w szkołach podstawowych i innych formach wychowania przedszkolnego</t>
  </si>
  <si>
    <t>Razem:</t>
  </si>
  <si>
    <t>ZESPÓŁ SZKOLNO - PRZEDSZKOLNY</t>
  </si>
  <si>
    <t xml:space="preserve">Szacunkowe koszty utrzymania Gminnego Przedszkola nr 1 w Potępie </t>
  </si>
  <si>
    <t>Wynagrodzenie osobowe nauczycieli</t>
  </si>
  <si>
    <t>80101</t>
  </si>
  <si>
    <t>Szkoły podstawowe</t>
  </si>
  <si>
    <t>3020</t>
  </si>
  <si>
    <t>4170</t>
  </si>
  <si>
    <t>Wynagrodzenia bezosobowe</t>
  </si>
  <si>
    <t>4350</t>
  </si>
  <si>
    <t>Zakup towarów (w szczególności materiałów, leków, żywności) w związku z pomocą obywatelom Ukrainy</t>
  </si>
  <si>
    <t>4410</t>
  </si>
  <si>
    <t>4430</t>
  </si>
  <si>
    <t>4440</t>
  </si>
  <si>
    <t>4750</t>
  </si>
  <si>
    <t>Wynagrodzenia nauczycieli wypłacane w związku z pomocą obywatelom Ukrainy</t>
  </si>
  <si>
    <t>4800</t>
  </si>
  <si>
    <t>Dodatkowe wynagrodzenie roczne nauczycieli</t>
  </si>
  <si>
    <t>4850</t>
  </si>
  <si>
    <t>Składki i inne pochodne od wynagrodzeń pracowników wypłacanych w związku z pomocą obywatelom Ukrainy</t>
  </si>
  <si>
    <t>4860</t>
  </si>
  <si>
    <t>Pozostałe wydatki bieżące na zadania związane z pomocą obywatelom Ukrainy</t>
  </si>
  <si>
    <t>80107</t>
  </si>
  <si>
    <t>Świetlice szkolne</t>
  </si>
  <si>
    <t>4220</t>
  </si>
  <si>
    <t>80150</t>
  </si>
  <si>
    <t>Realizacja zadań wymagających stosowania specjalnej organizacji nauki i metod pracy dla dzieci i młodzieży w szkołach podstawowych</t>
  </si>
  <si>
    <t>80153</t>
  </si>
  <si>
    <t>Zapewnienie uczniom prawa do bezpłatnego dostępu do podręczników, materiałów edukacyjnych lub materiałów ćwiczeniowych</t>
  </si>
  <si>
    <t>WARIANT 1</t>
  </si>
  <si>
    <t xml:space="preserve">Od września 2025r, po wprowadzeniu zmian w sieci szkół spodziewane oszczędności będą wynikać ze zmniejszenia liczby zatrudnionych oraz kosztów utrzymania placówek.   </t>
  </si>
  <si>
    <t>Plany budżetowe na rok 2025:</t>
  </si>
  <si>
    <t>Wyliczenia po zastosowanych cięciach:</t>
  </si>
  <si>
    <t>Szkoła</t>
  </si>
  <si>
    <t>Przedszkole</t>
  </si>
  <si>
    <t>Różnica kwot wynikająca z wyliczeń to:</t>
  </si>
  <si>
    <t>Przedstawiony budżet powstał w oparciu o plany budżetowe  SP1 i ZSP na rok 2025 .</t>
  </si>
  <si>
    <t>Koszt utrzymania 1 ucznia w Zespole Szkolno - Przedszkolnym w Potępie</t>
  </si>
  <si>
    <t>stołówka zsp przedszkole</t>
  </si>
  <si>
    <t>zakup środków żywności</t>
  </si>
  <si>
    <t>Składki na ubezpieczenie społeczne</t>
  </si>
  <si>
    <t>POZ.</t>
  </si>
  <si>
    <t>NAZWA KONTA</t>
  </si>
  <si>
    <t>ILOŚĆ M-CY / STAWKA</t>
  </si>
  <si>
    <t>KWOTA</t>
  </si>
  <si>
    <t>PROGNOZOWANE WYDATKI</t>
  </si>
  <si>
    <t>PLAN
 FINANSOWY</t>
  </si>
  <si>
    <t>OŚWIATA I WYCHOWANIE</t>
  </si>
  <si>
    <t>80101 - SZKOŁY</t>
  </si>
  <si>
    <t>Wyd.osob.nie zal. do wynagrodzeń</t>
  </si>
  <si>
    <t>* dod. socjalne brutto</t>
  </si>
  <si>
    <t>* fundusz zdrowotny</t>
  </si>
  <si>
    <t>* świadczenie na start</t>
  </si>
  <si>
    <t>Wynagrodzenie osobowe pracowników (obsługa)</t>
  </si>
  <si>
    <t xml:space="preserve">* wynagrodzenie obsługa </t>
  </si>
  <si>
    <t>* nagroda DEN tj. 1% z planowanych wynagrodzeń</t>
  </si>
  <si>
    <t>* składki ZUS za 12/2025</t>
  </si>
  <si>
    <t>* pod. doch. za 12/2025</t>
  </si>
  <si>
    <t>* nagroda jubileuszowa</t>
  </si>
  <si>
    <t xml:space="preserve">* odprawa emerytalna </t>
  </si>
  <si>
    <t>Dodatkowe wynagrodzenie roczne (obsługa)</t>
  </si>
  <si>
    <t xml:space="preserve">* skł. ZUS dod. wiejskie </t>
  </si>
  <si>
    <t xml:space="preserve">* skł. ZUS  wynagrodzenia obsługa </t>
  </si>
  <si>
    <t xml:space="preserve">* skł. ZUS  wynagrodzenia nauczyciele </t>
  </si>
  <si>
    <t xml:space="preserve">* skł. ZUS  nadgodziny nauczyciele </t>
  </si>
  <si>
    <t>* skł. ZUS jednorazowy dodatek uzupełniający</t>
  </si>
  <si>
    <t>* skł. ZUS wynagrodzenie um. zlecenie</t>
  </si>
  <si>
    <t>* skł. ZUS dodatkowe wynagrodzenie roczne (naucz.+ obsługa)</t>
  </si>
  <si>
    <t>Składki na Fundusz Pracy</t>
  </si>
  <si>
    <t xml:space="preserve">* fundusz pracy dod. Wiejskie </t>
  </si>
  <si>
    <t>* fundusz pracy wynagrodzenia  obsługa</t>
  </si>
  <si>
    <t xml:space="preserve">* fundusz pracy wynagrodzenia nauczyciele </t>
  </si>
  <si>
    <t>* fundusz pracy ZUS  nadgodziny nauczyciele</t>
  </si>
  <si>
    <t>* fundusz pracy wynagrodzenie um. zlecenie</t>
  </si>
  <si>
    <t>* fundusz pracy dodatkowe wynagrodzenie roczne (naucz.+ obsługa)</t>
  </si>
  <si>
    <t>Wynagrodzenie bezosobowe</t>
  </si>
  <si>
    <t>Zakup mat. i wyposażenia</t>
  </si>
  <si>
    <t>Zakup pomocy dydaktycznych</t>
  </si>
  <si>
    <t xml:space="preserve">Zakup energii </t>
  </si>
  <si>
    <t>* energia elektryczna</t>
  </si>
  <si>
    <t>* dostawa wody</t>
  </si>
  <si>
    <t>* prowizje bankowe</t>
  </si>
  <si>
    <t xml:space="preserve">* dzierżawa ksera </t>
  </si>
  <si>
    <t xml:space="preserve">* Inspektor Ochrony Danych </t>
  </si>
  <si>
    <t xml:space="preserve">* wywóz śmieci komunalnych  </t>
  </si>
  <si>
    <t xml:space="preserve">* odprowadzenie ścieków </t>
  </si>
  <si>
    <t>Zakup towarów (w szczególności materiałów, leków, żywności w związku z pomocą obywatelom Ukrainy</t>
  </si>
  <si>
    <t xml:space="preserve">Opłaty z tytułu usług telekomunikacyjnych </t>
  </si>
  <si>
    <t>Podróże służbowe krajowe, w tym delegacje na badania kontrolne, wstępne i okresowe</t>
  </si>
  <si>
    <t>Odpisy na ZFŚS</t>
  </si>
  <si>
    <t>Szkolenia pracowników niebędących członkami korpusu służby cywilnej</t>
  </si>
  <si>
    <t>Wpłaty na PPK finansowane przez podmiot zatrudniający (1,5% tylko zadeklarowani nauczycieli)</t>
  </si>
  <si>
    <t>* skł. PPK dod. wiejskie (1,5% od brutto)</t>
  </si>
  <si>
    <t xml:space="preserve">* skł. PPK  wynagrodzenia obsługa </t>
  </si>
  <si>
    <t xml:space="preserve">* skł. PPK  wynagrodzenia nauczyciele </t>
  </si>
  <si>
    <t>* skł. PPK od JDU</t>
  </si>
  <si>
    <t>* skł. PPK nagroda DEN (nauczyciele + obsługa)</t>
  </si>
  <si>
    <t>Wynagrodzenia osobowe nauczycieli wypłacane w związku z pomocą obyw. Ukrainy</t>
  </si>
  <si>
    <t>* wynagrodzenia nauczycieli</t>
  </si>
  <si>
    <t>* nagrody DEN</t>
  </si>
  <si>
    <t>* nadgodziny</t>
  </si>
  <si>
    <t>* jednorazowy dodatek uzupełniający</t>
  </si>
  <si>
    <t>Składki i inne pochodne od wynagrodzeń pracowników wypłacane w związku z pomocą obywatelom Ukrainy</t>
  </si>
  <si>
    <t>Pozostałe wydatki bieżące na zadaia związane z pomocą obywatelom Ukrainy</t>
  </si>
  <si>
    <t>80107 - ŚWIETLICE SZKOLNE</t>
  </si>
  <si>
    <t>Wyd.osob.nie zal. do wynagr.</t>
  </si>
  <si>
    <t xml:space="preserve">* dod. socjalne brutto </t>
  </si>
  <si>
    <t>* skł. ZUS dod. wiejskie</t>
  </si>
  <si>
    <t>* skł. ZUS  nadgodziny nauczyciele</t>
  </si>
  <si>
    <t>* skł. ZUS nagroda DEN (nauczycieli)</t>
  </si>
  <si>
    <t>* skł. ZUS z dodatkowego wynagrodzenia rocznego</t>
  </si>
  <si>
    <t xml:space="preserve">* fundusz pracy dod. wiejskie </t>
  </si>
  <si>
    <t xml:space="preserve">* fundusz pracy  wynagrodzenia nauczyciele </t>
  </si>
  <si>
    <t>* fundusz pracy  nadgodziny nauczyciele</t>
  </si>
  <si>
    <t>* fundusz pracy jednorazowy dodatek uzupełniający</t>
  </si>
  <si>
    <t>* fundusz pracy nagroda DEN (nauczycieli)</t>
  </si>
  <si>
    <t>* fundusz pracy z dodatkowego wynagrodzenia rocznego</t>
  </si>
  <si>
    <t xml:space="preserve">* wynagrodzenia nauczycieli </t>
  </si>
  <si>
    <t xml:space="preserve">* nagrody jubileuszowe </t>
  </si>
  <si>
    <t>* odprawa emerytalna</t>
  </si>
  <si>
    <t>80146 - DOKSZTAŁCANIE I DOSKONALENIE  NAUCZ.</t>
  </si>
  <si>
    <t>80148 - STOŁÓWKI  SZKOLNE I PRZEDSZKOLNE</t>
  </si>
  <si>
    <t>Wynagrodzenie osobowe pracowników</t>
  </si>
  <si>
    <t>* nagroda DEN</t>
  </si>
  <si>
    <t>* nagrody jubileuszowe</t>
  </si>
  <si>
    <t>* odprawy emerytalne</t>
  </si>
  <si>
    <t>* skł. ZUS  wynagrodzenia obsługa</t>
  </si>
  <si>
    <t xml:space="preserve">* skł. ZUS nagroda DEN </t>
  </si>
  <si>
    <t>* fundusz pracy  wynagrodzenia obsługa</t>
  </si>
  <si>
    <t xml:space="preserve">* fundusz pracy nagroda DEN </t>
  </si>
  <si>
    <t xml:space="preserve">Zakup mat. i wyposażenia </t>
  </si>
  <si>
    <t>80150 - REALIZACJA ZADAŃ WYMAGAJĄCYCH STOSOWANIA SPECJALNEJ ORGANIZACJI NAUKI I METOD PRACY DLA DZIECI W SZKOŁACH PODSTAWOWYCH</t>
  </si>
  <si>
    <r>
      <t>Wydatki osobowe nie zaliczane do wynag</t>
    </r>
    <r>
      <rPr>
        <b/>
        <sz val="10"/>
        <color indexed="8"/>
        <rFont val="Arial CE"/>
        <charset val="238"/>
      </rPr>
      <t>rodzeń</t>
    </r>
  </si>
  <si>
    <t>* skł. ZUS nagroda DEN (naucz.)</t>
  </si>
  <si>
    <t xml:space="preserve">* fundusz pracy  nadgodziny nauczyciele </t>
  </si>
  <si>
    <t>* fundusz pracy nagroda DEN (naucz.)</t>
  </si>
  <si>
    <t xml:space="preserve">Wynagrodzenia osobowe nauczycieli </t>
  </si>
  <si>
    <t xml:space="preserve">* nagrody DEN </t>
  </si>
  <si>
    <t>80153 - ZAPEWNIENIE UCZNIOM PRAWA DO BEZPŁATNEGO DOSTĘPU DO PODRĘCZNIKÓW, MATERIAŁÓW EDUKACYJNYCH LUB MATERIAŁÓW ĆWICZENIOWYCH</t>
  </si>
  <si>
    <t>Pomoce dydaktyczne, książki</t>
  </si>
  <si>
    <t>gotowe</t>
  </si>
  <si>
    <t>* odzież i obuwie ochronne</t>
  </si>
  <si>
    <t>* nagroda DEN (naucz.)</t>
  </si>
  <si>
    <t>* skł. ZUS od jednorazowego dodatku uzupełniającego</t>
  </si>
  <si>
    <t>* fundusz pracy od jednorazowego dodatku uzupełniającego</t>
  </si>
  <si>
    <t>* bieżące utrzymanie placówki (środki czystości, art. biurowe, środki opatrunkowe do apteczki, tonery do drukarek, paliwo i olej do kosiarki, nagrody książkowe na zakończenie roku szkolnego, gilosze i teczki absolwentów, hologramy do legitymacji szkolnych)</t>
  </si>
  <si>
    <t>* dysk zewnętrzny</t>
  </si>
  <si>
    <t>* akcesoria do komputera (myszki i głośniki)</t>
  </si>
  <si>
    <t>* kable do sprzętu informatycznego oraz tablicy interaktywnej</t>
  </si>
  <si>
    <t>* uchwyt do telewizora LCD</t>
  </si>
  <si>
    <t>* szafka pod drukarkę</t>
  </si>
  <si>
    <t>* wycieraczka zewnętrzna do przedszkola</t>
  </si>
  <si>
    <t xml:space="preserve">* folia do oprawiania książek w bibliotece </t>
  </si>
  <si>
    <t>* sprzęt sportowy (piłki, materace, korek, gumy, punktator)</t>
  </si>
  <si>
    <t>* ogrzewanie gazowe + butle gazowe</t>
  </si>
  <si>
    <t>Usługi remontowe - bieżące naprawy</t>
  </si>
  <si>
    <t>* bieżące naprawy</t>
  </si>
  <si>
    <t>* wywóz śmieci segregowanych</t>
  </si>
  <si>
    <t>* obsługa BHP</t>
  </si>
  <si>
    <t>* dziennik elektroniczny Vulcan wraz z programem e-biblio i obsługą stołówki</t>
  </si>
  <si>
    <t>* web hosting</t>
  </si>
  <si>
    <t>* bilety autobusowe dla uczniów i nauczycieli - zawody, konkursy</t>
  </si>
  <si>
    <t>* przegląd instalacji alarmowej, p. poż, klimatyzacji, kominiarski</t>
  </si>
  <si>
    <t>* pozostałe, bieżące usługi</t>
  </si>
  <si>
    <t>Szkolenia pracowników niebędących członkami korpusu służby cywilnej,  w tym BHP</t>
  </si>
  <si>
    <t>* skł. PPK dodatkowe wynagr. Roczne obsługa</t>
  </si>
  <si>
    <t xml:space="preserve">* skł. PPK  nadgodziny nauczyciele </t>
  </si>
  <si>
    <t>skł. PPK dodatkowe wynagr. Roczne nauczyciele</t>
  </si>
  <si>
    <t>80104 - PRZEDSZKOLA</t>
  </si>
  <si>
    <t xml:space="preserve">Wyd.osob.nie zal. do wynagrodzeń  </t>
  </si>
  <si>
    <t>Wynagrodzenie osobowe pracowników (obsługa):</t>
  </si>
  <si>
    <t>* nagroda DEN naucz.</t>
  </si>
  <si>
    <t>* nagroda DEN (naucz.+ obsługa)</t>
  </si>
  <si>
    <t>* bieżące utrzymanie przedszkola (art..biurowe, art.. plastyczne, materiały remontowe)</t>
  </si>
  <si>
    <t xml:space="preserve">Usługi remontowe </t>
  </si>
  <si>
    <t xml:space="preserve">* usunięcie nieprzewidzianych awarii </t>
  </si>
  <si>
    <t>* usługi pocztowe</t>
  </si>
  <si>
    <t>* skł. PPK od dodatek wiejski</t>
  </si>
  <si>
    <t>* skł. PPK wynagrodzenia</t>
  </si>
  <si>
    <t>* skł. PPK nadgodziny</t>
  </si>
  <si>
    <t>* skł. PPK nagrody DEN</t>
  </si>
  <si>
    <t>* skł. PPk od JDU</t>
  </si>
  <si>
    <t>* skł. PPK od dodatkowego wynagrodzenia rocznego</t>
  </si>
  <si>
    <t>* jednorazowy dodatek uzupełniajacy</t>
  </si>
  <si>
    <t>* drobny sprzęt kuchenny (obieraczki do warzyw, pojemniki na sól i pieprz, miski, tace plastikowe, kubki do herbaty, talerzyki deserowe, blaszka na ciasto)</t>
  </si>
  <si>
    <t>* płyn do zmywarki</t>
  </si>
  <si>
    <t>* termosy</t>
  </si>
  <si>
    <t>80149 - REALIZACJA ZADAŃ WYMAGAJĄCYCH STOSOWANIA SPECJALNEJ ORGANIZACJI NAUKI I METOD PRACY DLA DZIECI W PRZEDSZKOLACH, ODDZIAŁACH PRZEDSZKOLNYCH W SZKOŁACH PODSTAWOWYCH I INNYCH FORMACH WYCHOWANIA PRZEDSZKOLNEGO</t>
  </si>
  <si>
    <t xml:space="preserve">* dod. socjalne brutto - brak </t>
  </si>
  <si>
    <t>* wynagrodzenia nauczycieli - brak</t>
  </si>
  <si>
    <t>* nagrody DEN - brak</t>
  </si>
  <si>
    <r>
      <t>Różne opłaty i składki - polisy ubezpieczenia mienia oraz odpowiedzialności cywilnej - polisy odpowiedzialności cywilnej, ubezpieczenie mienia</t>
    </r>
    <r>
      <rPr>
        <i/>
        <sz val="10"/>
        <rFont val="Arial CE"/>
        <charset val="238"/>
      </rPr>
      <t xml:space="preserve"> (w tym koszty wynagrodzenia pracownika Międzyzakładowej Organizacji Związkowej NSZZ Solidarność)</t>
    </r>
  </si>
  <si>
    <t>PROJEKT PLANU FINANSOWEGO DLA ZESPOŁU SZKOLNO PRZEDSZKOLNEGO- SZKOŁA W KRUPSKIM MŁYNIE, PRZEDSZKOLE W POTĘPIE</t>
  </si>
  <si>
    <t>WYLICZONY NA PODSTAWIE WARIANTU 4 -PLANÓW FINANSOWYCH PLACÓWEK OŚWIATOWYCH NA ROK 2026</t>
  </si>
  <si>
    <t xml:space="preserve">* zakupy stolików szkolnych </t>
  </si>
  <si>
    <t xml:space="preserve">* elektronarzędzia </t>
  </si>
  <si>
    <t>* pomoce do SI</t>
  </si>
  <si>
    <t xml:space="preserve">* plansze edukacyjne </t>
  </si>
  <si>
    <t>* domena , certyfikat ssl</t>
  </si>
  <si>
    <t>* bilet opiekuna dzieci dojeżdżających z Kotów do szkoły</t>
  </si>
  <si>
    <t>\</t>
  </si>
  <si>
    <t>Wydatki osobowe pracowników</t>
  </si>
  <si>
    <t>* wynagrodzenie obsługa</t>
  </si>
  <si>
    <t>Dodatkowe wynagrodzenie roczne obsługa</t>
  </si>
  <si>
    <t>* skł. ZUS wyn.obsługa</t>
  </si>
  <si>
    <t>8 dod.wyn.roczne</t>
  </si>
  <si>
    <t>* skł.ZUS dod.wyn.roczne</t>
  </si>
  <si>
    <t xml:space="preserve">\
</t>
  </si>
  <si>
    <t>PROJEKT PLANU FINANSOWEGO DLA ZSP W POTĘPIE KLASY 1-3, 2GRUPY PRZEDSZKOLNE</t>
  </si>
  <si>
    <t>* pomoce dydaktyczne</t>
  </si>
  <si>
    <t>*przebieralnia dziewcząt i chłopców</t>
  </si>
  <si>
    <t>* wymiana drzwi przeciwpożarowych</t>
  </si>
  <si>
    <t>*ogrodzenie przedszkolnego placu zabaw</t>
  </si>
  <si>
    <t xml:space="preserve">PROJEKT PLANU FINANSOWEGO DLA SZKOŁY PODSTAWOWEJ W KRUPSKIM MŁYNIE </t>
  </si>
  <si>
    <t>KLASY 1-8 (KLASY 1-8 KM+4-8 POTĘPA)</t>
  </si>
  <si>
    <t>*sprzęt , stoliki i krzesełka do pracowni informatycznej</t>
  </si>
  <si>
    <t xml:space="preserve">* ogrzewanie gazowe </t>
  </si>
  <si>
    <t>* energia elektryczna - Hala Sportowa</t>
  </si>
  <si>
    <t>* remont instalacji elektrycznej w salach i korytarzu</t>
  </si>
  <si>
    <t>* dziennik elektroniczny Librus</t>
  </si>
  <si>
    <t>* przeglądy : wyłączników, instalacji odgromowej, przewodów kominowych</t>
  </si>
  <si>
    <t>*licencja e-biblioteka</t>
  </si>
  <si>
    <t>*ZUS z dod.wyn.rocznego</t>
  </si>
  <si>
    <t>*dundusz pracy z dodatkowego wynagrodzenia rocznego</t>
  </si>
  <si>
    <t>PLAN  WYDATKÓW BUDŻETOWYCH NA ROK 2026</t>
  </si>
  <si>
    <t>WARIANT 4 - WZROST POZIOMU WYNAGRODZEŃ O 10%</t>
  </si>
  <si>
    <t>* odzież i obuwie ochronne, okulary korekcyjne</t>
  </si>
  <si>
    <t>* skł. ZUS za 12/2025</t>
  </si>
  <si>
    <t>* składki ZUS od JDU</t>
  </si>
  <si>
    <t>* fundusz pracy od JDU</t>
  </si>
  <si>
    <t>* fundusz pracy za 12/2025</t>
  </si>
  <si>
    <r>
      <t>Wynagrodzenie bezosobowe</t>
    </r>
    <r>
      <rPr>
        <b/>
        <i/>
        <sz val="9"/>
        <rFont val="Arial CE"/>
        <charset val="238"/>
      </rPr>
      <t xml:space="preserve"> </t>
    </r>
  </si>
  <si>
    <t>Zakup mat. i wyposażenia (środki czystości, art.biurowe, art.plastyczne, mat.remontowe)</t>
  </si>
  <si>
    <t>* bieżące utrzymanie placówki (środki czystości 6.000 zł, art. biurowe 3.000 zł, środki opatrunkowe 300 zł, paliwo do kosiarki 200 zł, materiały remontowe 3.000 zł)</t>
  </si>
  <si>
    <t>* kosiarka i inne narzędzia dla konserwatora (oddział Kr.Młyn)</t>
  </si>
  <si>
    <t xml:space="preserve">Zakup pomocy dydaktycznych  </t>
  </si>
  <si>
    <t>* odmalowanie pomieszczeń przedszkolnych (oddział Ziętek)</t>
  </si>
  <si>
    <t xml:space="preserve">* prowizje bankowe </t>
  </si>
  <si>
    <t xml:space="preserve">* wywóz śmieci segregowanych </t>
  </si>
  <si>
    <t xml:space="preserve">* wywóz śmieci komunalnych </t>
  </si>
  <si>
    <t>* przegląd gaśnic, badanie hydrantów</t>
  </si>
  <si>
    <t>* domena przedszkolna, certyfikat SSL</t>
  </si>
  <si>
    <t>* konserwacja kserokopiarki</t>
  </si>
  <si>
    <t xml:space="preserve">* okresowe, kontrolne pomiary elektryczne </t>
  </si>
  <si>
    <t>* przeglądy oświetlenie awaryjne, włącznik ppoż.</t>
  </si>
  <si>
    <t xml:space="preserve">* zajęcia z jęz. angielskiego </t>
  </si>
  <si>
    <t>* kalibracja alkomatu</t>
  </si>
  <si>
    <t>* przelgąd instalacji gazowej Kr. Młyn</t>
  </si>
  <si>
    <t>* pozostałe usługi (motaż nowych urządzeń, konfiguracje urządzeń sieciowych)</t>
  </si>
  <si>
    <t>Podróże służbowe krajowe, w tym na badania kontrolne, wstępne i okresowe</t>
  </si>
  <si>
    <t>Różne opłaty i składki - polisy ubezpieczenia mienia oraz odpowiedzialności cywilnej</t>
  </si>
  <si>
    <t>* dodatek wiejski</t>
  </si>
  <si>
    <t>* wynagrodzenia</t>
  </si>
  <si>
    <t>* dodatkowe wynagrodzenie roczne</t>
  </si>
  <si>
    <t xml:space="preserve">* wynagrodzenia stołówka </t>
  </si>
  <si>
    <t xml:space="preserve">* nagroda jublieluszowa </t>
  </si>
  <si>
    <t xml:space="preserve">* skł. ZUS wynagrodzenia </t>
  </si>
  <si>
    <t>* skł. ZUS dodatkowe wynagrodzenie roczne</t>
  </si>
  <si>
    <t xml:space="preserve">* fundusz pracy wynagrodzenia </t>
  </si>
  <si>
    <t xml:space="preserve">* fundusz pracy z nagrody DEN </t>
  </si>
  <si>
    <t>* fundusz pracy dodatkowe wynagrodzenie roczne</t>
  </si>
  <si>
    <t>* drobny sprzęt kuchenny (mikser, blender) - oddział Kr. Młyn</t>
  </si>
  <si>
    <t>* lodówka - oddział Kr. Młyn</t>
  </si>
  <si>
    <t>Wynagrodzenia osobowe pracowników (obsługa)</t>
  </si>
  <si>
    <t>* nagroda DEN ( zł, tj. 1% z planu)</t>
  </si>
  <si>
    <t>* skł. ZUS wynagrodzenia (nadgodziny) nauczyciele</t>
  </si>
  <si>
    <t>* skł. ZUS nagroda DEN (nauczyciele )</t>
  </si>
  <si>
    <t>* funudsz pracy  wynagrodzenia obsługa</t>
  </si>
  <si>
    <t>* fundusz pracy nagroda DEN (nauczyciele + obsługa)</t>
  </si>
  <si>
    <r>
      <t xml:space="preserve">Zakup usług pozostałych 
</t>
    </r>
    <r>
      <rPr>
        <sz val="11"/>
        <color theme="1"/>
        <rFont val="Aptos Narrow"/>
        <family val="2"/>
        <charset val="238"/>
        <scheme val="minor"/>
      </rPr>
      <t>*prognoza: terapia SI, zajęcia z psychologiem, diagnozy nowych przedszkolaków 09/2026</t>
    </r>
  </si>
  <si>
    <t>* wynagrodzenie</t>
  </si>
  <si>
    <t>PROJEKT PLAN  WYDATKÓW PRZEDSZKOLE W KRUPSKIM MŁYNIE - 2 GRUPY</t>
  </si>
  <si>
    <t>* zabawki dla dzieci</t>
  </si>
  <si>
    <t xml:space="preserve">Zakup pomocy dydaktycznych </t>
  </si>
  <si>
    <t>* krzesła konferencyjne (50 szt.)</t>
  </si>
  <si>
    <t>* materiały budowlano-remontowe</t>
  </si>
  <si>
    <t>* słuchawki wyciszające i pufy wyciszające</t>
  </si>
  <si>
    <t>* plansze matematyczne</t>
  </si>
  <si>
    <t>* przebieralnie dla dziewcząt i chłopców</t>
  </si>
  <si>
    <t>* domena szkolna potepa.org</t>
  </si>
  <si>
    <t>* bilet opiekuna dzieci dojeżdżających z Kotów do ZSP</t>
  </si>
  <si>
    <t>* mały dywan</t>
  </si>
  <si>
    <t>* ogrodzenie przedszkolnego placu zabaw</t>
  </si>
  <si>
    <t xml:space="preserve">ZSP W POTĘPIE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</si>
</sst>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0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9"/>
      <color indexed="8"/>
      <name val="Arial"/>
    </font>
    <font>
      <b/>
      <sz val="8.25"/>
      <color indexed="8"/>
      <name val="Arial"/>
    </font>
    <font>
      <sz val="8.25"/>
      <color indexed="8"/>
      <name val="Arial"/>
    </font>
    <font>
      <sz val="7"/>
      <color indexed="8"/>
      <name val="Arial"/>
    </font>
    <font>
      <sz val="8.25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10"/>
      <color indexed="8"/>
      <name val="Arial"/>
    </font>
    <font>
      <b/>
      <sz val="10"/>
      <name val="Arial CE"/>
      <charset val="238"/>
    </font>
    <font>
      <i/>
      <sz val="9"/>
      <name val="Arial CE"/>
      <charset val="238"/>
    </font>
    <font>
      <i/>
      <sz val="9"/>
      <color theme="1"/>
      <name val="Arial CE"/>
      <charset val="238"/>
    </font>
    <font>
      <i/>
      <sz val="10"/>
      <name val="Arial CE"/>
      <charset val="238"/>
    </font>
    <font>
      <b/>
      <sz val="10"/>
      <color indexed="8"/>
      <name val="Arial CE"/>
      <charset val="238"/>
    </font>
    <font>
      <b/>
      <sz val="10"/>
      <color theme="1"/>
      <name val="Arial CE"/>
      <charset val="238"/>
    </font>
    <font>
      <sz val="11"/>
      <name val="Times New Roman"/>
      <family val="1"/>
      <charset val="238"/>
    </font>
    <font>
      <sz val="11"/>
      <name val="Arial CE"/>
      <charset val="238"/>
    </font>
    <font>
      <sz val="10"/>
      <color theme="1"/>
      <name val="Arial CE"/>
      <charset val="238"/>
    </font>
    <font>
      <b/>
      <sz val="9"/>
      <name val="Arial CE"/>
      <charset val="238"/>
    </font>
    <font>
      <b/>
      <i/>
      <sz val="9"/>
      <name val="Arial CE"/>
      <charset val="238"/>
    </font>
  </fonts>
  <fills count="9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0" xfId="0" applyNumberFormat="1"/>
    <xf numFmtId="164" fontId="0" fillId="0" borderId="1" xfId="0" applyNumberFormat="1" applyBorder="1"/>
    <xf numFmtId="164" fontId="0" fillId="0" borderId="3" xfId="0" applyNumberFormat="1" applyBorder="1"/>
    <xf numFmtId="0" fontId="0" fillId="0" borderId="2" xfId="0" applyBorder="1"/>
    <xf numFmtId="0" fontId="1" fillId="0" borderId="0" xfId="0" applyFont="1"/>
    <xf numFmtId="164" fontId="1" fillId="0" borderId="2" xfId="0" applyNumberFormat="1" applyFont="1" applyBorder="1"/>
    <xf numFmtId="0" fontId="0" fillId="0" borderId="0" xfId="0" applyAlignment="1">
      <alignment vertical="top"/>
    </xf>
    <xf numFmtId="0" fontId="0" fillId="0" borderId="1" xfId="0" applyBorder="1" applyAlignment="1">
      <alignment vertical="top" wrapText="1"/>
    </xf>
    <xf numFmtId="164" fontId="0" fillId="0" borderId="4" xfId="0" applyNumberFormat="1" applyBorder="1"/>
    <xf numFmtId="0" fontId="1" fillId="0" borderId="0" xfId="0" applyFont="1" applyAlignment="1">
      <alignment vertical="top"/>
    </xf>
    <xf numFmtId="164" fontId="0" fillId="0" borderId="1" xfId="0" applyNumberFormat="1" applyBorder="1" applyAlignment="1">
      <alignment vertical="top"/>
    </xf>
    <xf numFmtId="0" fontId="2" fillId="0" borderId="7" xfId="0" applyFont="1" applyBorder="1" applyAlignment="1">
      <alignment horizontal="center" vertical="center" wrapText="1"/>
    </xf>
    <xf numFmtId="39" fontId="3" fillId="2" borderId="7" xfId="0" applyNumberFormat="1" applyFont="1" applyFill="1" applyBorder="1" applyAlignment="1">
      <alignment horizontal="righ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9" fontId="4" fillId="3" borderId="7" xfId="0" applyNumberFormat="1" applyFont="1" applyFill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39" fontId="4" fillId="0" borderId="7" xfId="0" applyNumberFormat="1" applyFont="1" applyBorder="1" applyAlignment="1">
      <alignment horizontal="right" vertical="center" wrapText="1"/>
    </xf>
    <xf numFmtId="0" fontId="1" fillId="0" borderId="1" xfId="0" applyFont="1" applyBorder="1"/>
    <xf numFmtId="164" fontId="1" fillId="0" borderId="1" xfId="0" applyNumberFormat="1" applyFont="1" applyBorder="1"/>
    <xf numFmtId="0" fontId="6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/>
    </xf>
    <xf numFmtId="0" fontId="0" fillId="0" borderId="11" xfId="0" applyBorder="1" applyAlignment="1">
      <alignment wrapText="1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4" xfId="0" applyBorder="1"/>
    <xf numFmtId="0" fontId="0" fillId="0" borderId="1" xfId="0" applyBorder="1" applyAlignment="1">
      <alignment vertical="top"/>
    </xf>
    <xf numFmtId="2" fontId="0" fillId="0" borderId="1" xfId="0" applyNumberFormat="1" applyBorder="1"/>
    <xf numFmtId="39" fontId="0" fillId="0" borderId="1" xfId="0" applyNumberFormat="1" applyBorder="1"/>
    <xf numFmtId="164" fontId="0" fillId="0" borderId="22" xfId="0" applyNumberFormat="1" applyBorder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 wrapText="1"/>
    </xf>
    <xf numFmtId="4" fontId="9" fillId="0" borderId="12" xfId="0" applyNumberFormat="1" applyFont="1" applyBorder="1" applyAlignment="1">
      <alignment horizontal="right" vertical="center" wrapText="1"/>
    </xf>
    <xf numFmtId="4" fontId="9" fillId="0" borderId="13" xfId="0" applyNumberFormat="1" applyFont="1" applyBorder="1" applyAlignment="1">
      <alignment horizontal="right" vertical="center" wrapText="1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0" fontId="9" fillId="0" borderId="30" xfId="0" applyFont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9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4" fontId="10" fillId="5" borderId="1" xfId="0" applyNumberFormat="1" applyFont="1" applyFill="1" applyBorder="1" applyAlignment="1">
      <alignment horizontal="right" vertical="center" wrapText="1"/>
    </xf>
    <xf numFmtId="0" fontId="10" fillId="0" borderId="35" xfId="0" applyFont="1" applyBorder="1" applyAlignment="1">
      <alignment vertical="center" wrapText="1"/>
    </xf>
    <xf numFmtId="0" fontId="9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0" fontId="10" fillId="0" borderId="38" xfId="0" applyFont="1" applyBorder="1" applyAlignment="1">
      <alignment horizontal="right" vertical="center" wrapText="1"/>
    </xf>
    <xf numFmtId="4" fontId="10" fillId="0" borderId="38" xfId="0" applyNumberFormat="1" applyFont="1" applyBorder="1" applyAlignment="1">
      <alignment horizontal="right" vertical="center" wrapText="1"/>
    </xf>
    <xf numFmtId="4" fontId="10" fillId="0" borderId="37" xfId="0" applyNumberFormat="1" applyFont="1" applyBorder="1" applyAlignment="1">
      <alignment horizontal="right" vertical="center" wrapText="1"/>
    </xf>
    <xf numFmtId="4" fontId="9" fillId="0" borderId="39" xfId="0" applyNumberFormat="1" applyFont="1" applyBorder="1" applyAlignment="1">
      <alignment horizontal="right" vertical="center" wrapText="1"/>
    </xf>
    <xf numFmtId="0" fontId="9" fillId="0" borderId="35" xfId="0" applyFont="1" applyBorder="1" applyAlignment="1">
      <alignment vertical="center" wrapText="1"/>
    </xf>
    <xf numFmtId="0" fontId="10" fillId="0" borderId="35" xfId="0" applyFont="1" applyBorder="1" applyAlignment="1">
      <alignment horizontal="right" vertical="center" wrapText="1"/>
    </xf>
    <xf numFmtId="4" fontId="10" fillId="0" borderId="35" xfId="0" applyNumberFormat="1" applyFont="1" applyBorder="1" applyAlignment="1">
      <alignment horizontal="right" vertical="center" wrapText="1"/>
    </xf>
    <xf numFmtId="4" fontId="9" fillId="0" borderId="35" xfId="0" applyNumberFormat="1" applyFont="1" applyBorder="1" applyAlignment="1">
      <alignment horizontal="right" vertical="center" wrapText="1"/>
    </xf>
    <xf numFmtId="9" fontId="10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/>
    </xf>
    <xf numFmtId="0" fontId="10" fillId="0" borderId="38" xfId="0" applyFont="1" applyBorder="1" applyAlignment="1">
      <alignment vertical="center" wrapText="1"/>
    </xf>
    <xf numFmtId="0" fontId="10" fillId="0" borderId="40" xfId="0" applyFont="1" applyBorder="1" applyAlignment="1">
      <alignment horizontal="right" vertical="center" wrapText="1"/>
    </xf>
    <xf numFmtId="4" fontId="10" fillId="0" borderId="40" xfId="0" applyNumberFormat="1" applyFont="1" applyBorder="1" applyAlignment="1">
      <alignment horizontal="right" vertical="center" wrapText="1"/>
    </xf>
    <xf numFmtId="0" fontId="9" fillId="0" borderId="31" xfId="0" applyFont="1" applyBorder="1" applyAlignment="1">
      <alignment vertical="center" wrapText="1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0" fontId="10" fillId="0" borderId="12" xfId="0" applyFont="1" applyBorder="1" applyAlignment="1">
      <alignment horizontal="right" vertical="center" wrapText="1"/>
    </xf>
    <xf numFmtId="4" fontId="10" fillId="0" borderId="12" xfId="0" applyNumberFormat="1" applyFont="1" applyBorder="1" applyAlignment="1">
      <alignment horizontal="right" vertical="center" wrapText="1"/>
    </xf>
    <xf numFmtId="0" fontId="10" fillId="0" borderId="37" xfId="0" applyFont="1" applyBorder="1" applyAlignment="1">
      <alignment horizontal="right" vertical="center" wrapText="1"/>
    </xf>
    <xf numFmtId="4" fontId="10" fillId="5" borderId="37" xfId="0" applyNumberFormat="1" applyFont="1" applyFill="1" applyBorder="1" applyAlignment="1">
      <alignment horizontal="right" vertical="center" wrapText="1"/>
    </xf>
    <xf numFmtId="4" fontId="10" fillId="5" borderId="38" xfId="0" applyNumberFormat="1" applyFont="1" applyFill="1" applyBorder="1" applyAlignment="1">
      <alignment horizontal="right" vertical="center" wrapText="1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vertical="center" wrapText="1"/>
    </xf>
    <xf numFmtId="0" fontId="9" fillId="0" borderId="42" xfId="0" applyFont="1" applyBorder="1" applyAlignment="1">
      <alignment horizontal="right" vertical="center" wrapText="1"/>
    </xf>
    <xf numFmtId="4" fontId="9" fillId="0" borderId="42" xfId="0" applyNumberFormat="1" applyFont="1" applyBorder="1" applyAlignment="1">
      <alignment horizontal="right" vertical="center" wrapText="1"/>
    </xf>
    <xf numFmtId="4" fontId="9" fillId="0" borderId="43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0" fillId="0" borderId="22" xfId="0" applyFont="1" applyBorder="1" applyAlignment="1">
      <alignment horizontal="right" vertical="center" wrapText="1"/>
    </xf>
    <xf numFmtId="0" fontId="10" fillId="0" borderId="22" xfId="0" applyFont="1" applyBorder="1" applyAlignment="1">
      <alignment vertical="center" wrapText="1"/>
    </xf>
    <xf numFmtId="4" fontId="10" fillId="0" borderId="22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4" fontId="0" fillId="0" borderId="38" xfId="0" applyNumberFormat="1" applyBorder="1" applyAlignment="1">
      <alignment horizontal="right" vertical="center" wrapText="1"/>
    </xf>
    <xf numFmtId="0" fontId="9" fillId="0" borderId="40" xfId="0" applyFont="1" applyBorder="1" applyAlignment="1">
      <alignment vertical="center" wrapText="1"/>
    </xf>
    <xf numFmtId="0" fontId="9" fillId="0" borderId="40" xfId="0" applyFont="1" applyBorder="1" applyAlignment="1">
      <alignment horizontal="right" vertical="center" wrapText="1"/>
    </xf>
    <xf numFmtId="4" fontId="9" fillId="0" borderId="40" xfId="0" applyNumberFormat="1" applyFont="1" applyBorder="1" applyAlignment="1">
      <alignment horizontal="right" vertical="center" wrapText="1"/>
    </xf>
    <xf numFmtId="0" fontId="9" fillId="0" borderId="42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9" fillId="0" borderId="1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right" vertical="center" wrapText="1"/>
    </xf>
    <xf numFmtId="4" fontId="9" fillId="0" borderId="38" xfId="0" applyNumberFormat="1" applyFont="1" applyBorder="1" applyAlignment="1">
      <alignment horizontal="right" vertical="center" wrapText="1"/>
    </xf>
    <xf numFmtId="0" fontId="0" fillId="0" borderId="33" xfId="0" applyBorder="1" applyAlignment="1">
      <alignment horizontal="center" vertical="center"/>
    </xf>
    <xf numFmtId="0" fontId="0" fillId="0" borderId="40" xfId="0" applyBorder="1" applyAlignment="1">
      <alignment horizontal="left" vertical="center" wrapText="1"/>
    </xf>
    <xf numFmtId="0" fontId="0" fillId="0" borderId="40" xfId="0" applyBorder="1" applyAlignment="1">
      <alignment horizontal="right" vertical="center" wrapText="1"/>
    </xf>
    <xf numFmtId="4" fontId="0" fillId="0" borderId="40" xfId="0" applyNumberFormat="1" applyBorder="1" applyAlignment="1">
      <alignment horizontal="right" vertical="center" wrapText="1"/>
    </xf>
    <xf numFmtId="4" fontId="0" fillId="0" borderId="35" xfId="0" applyNumberFormat="1" applyBorder="1" applyAlignment="1">
      <alignment horizontal="right" vertical="center" wrapText="1"/>
    </xf>
    <xf numFmtId="4" fontId="0" fillId="0" borderId="44" xfId="0" applyNumberForma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/>
    </xf>
    <xf numFmtId="4" fontId="9" fillId="0" borderId="12" xfId="0" applyNumberFormat="1" applyFont="1" applyBorder="1" applyAlignment="1">
      <alignment horizontal="right" vertical="center"/>
    </xf>
    <xf numFmtId="0" fontId="9" fillId="0" borderId="33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0" fillId="0" borderId="37" xfId="0" applyFont="1" applyBorder="1" applyAlignment="1">
      <alignment horizontal="right" vertical="center"/>
    </xf>
    <xf numFmtId="4" fontId="10" fillId="0" borderId="37" xfId="0" applyNumberFormat="1" applyFont="1" applyBorder="1" applyAlignment="1">
      <alignment horizontal="right" vertical="center"/>
    </xf>
    <xf numFmtId="4" fontId="10" fillId="5" borderId="1" xfId="0" applyNumberFormat="1" applyFont="1" applyFill="1" applyBorder="1" applyAlignment="1">
      <alignment horizontal="right" vertical="center"/>
    </xf>
    <xf numFmtId="0" fontId="10" fillId="0" borderId="38" xfId="0" applyFont="1" applyBorder="1" applyAlignment="1">
      <alignment horizontal="right" vertical="center"/>
    </xf>
    <xf numFmtId="4" fontId="10" fillId="5" borderId="38" xfId="0" applyNumberFormat="1" applyFont="1" applyFill="1" applyBorder="1" applyAlignment="1">
      <alignment horizontal="right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right" vertical="center"/>
    </xf>
    <xf numFmtId="4" fontId="9" fillId="0" borderId="31" xfId="0" applyNumberFormat="1" applyFont="1" applyBorder="1" applyAlignment="1">
      <alignment horizontal="right" vertical="center"/>
    </xf>
    <xf numFmtId="9" fontId="10" fillId="0" borderId="1" xfId="0" applyNumberFormat="1" applyFont="1" applyBorder="1" applyAlignment="1">
      <alignment horizontal="right" vertical="center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right" vertical="center"/>
    </xf>
    <xf numFmtId="4" fontId="9" fillId="0" borderId="42" xfId="0" applyNumberFormat="1" applyFont="1" applyBorder="1" applyAlignment="1">
      <alignment horizontal="right" vertical="center"/>
    </xf>
    <xf numFmtId="4" fontId="9" fillId="0" borderId="43" xfId="0" applyNumberFormat="1" applyFont="1" applyBorder="1" applyAlignment="1">
      <alignment horizontal="right" vertical="center"/>
    </xf>
    <xf numFmtId="0" fontId="10" fillId="0" borderId="40" xfId="0" applyFont="1" applyBorder="1" applyAlignment="1">
      <alignment vertical="center" wrapText="1"/>
    </xf>
    <xf numFmtId="4" fontId="10" fillId="5" borderId="40" xfId="0" applyNumberFormat="1" applyFont="1" applyFill="1" applyBorder="1" applyAlignment="1">
      <alignment horizontal="right" vertical="center" wrapText="1"/>
    </xf>
    <xf numFmtId="4" fontId="10" fillId="5" borderId="35" xfId="0" applyNumberFormat="1" applyFont="1" applyFill="1" applyBorder="1" applyAlignment="1">
      <alignment horizontal="right" vertical="center" wrapText="1"/>
    </xf>
    <xf numFmtId="4" fontId="9" fillId="0" borderId="15" xfId="0" applyNumberFormat="1" applyFont="1" applyBorder="1" applyAlignment="1">
      <alignment horizontal="right" vertical="center" wrapText="1"/>
    </xf>
    <xf numFmtId="0" fontId="9" fillId="0" borderId="46" xfId="0" applyFont="1" applyBorder="1" applyAlignment="1">
      <alignment horizontal="center" vertical="center"/>
    </xf>
    <xf numFmtId="4" fontId="9" fillId="0" borderId="18" xfId="0" applyNumberFormat="1" applyFont="1" applyBorder="1" applyAlignment="1">
      <alignment horizontal="right" vertical="center" wrapText="1"/>
    </xf>
    <xf numFmtId="0" fontId="9" fillId="0" borderId="38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9" fillId="0" borderId="37" xfId="0" applyFont="1" applyBorder="1" applyAlignment="1">
      <alignment vertical="center" wrapText="1"/>
    </xf>
    <xf numFmtId="0" fontId="9" fillId="0" borderId="47" xfId="0" applyFont="1" applyBorder="1" applyAlignment="1">
      <alignment horizontal="right" vertical="center" wrapText="1"/>
    </xf>
    <xf numFmtId="4" fontId="9" fillId="0" borderId="47" xfId="0" applyNumberFormat="1" applyFont="1" applyBorder="1" applyAlignment="1">
      <alignment horizontal="right" vertical="center" wrapText="1"/>
    </xf>
    <xf numFmtId="0" fontId="9" fillId="0" borderId="43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4" borderId="0" xfId="0" applyFont="1" applyFill="1"/>
    <xf numFmtId="10" fontId="9" fillId="0" borderId="0" xfId="0" applyNumberFormat="1" applyFont="1"/>
    <xf numFmtId="0" fontId="0" fillId="6" borderId="0" xfId="0" applyFill="1"/>
    <xf numFmtId="0" fontId="9" fillId="6" borderId="2" xfId="0" applyFont="1" applyFill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9" fontId="9" fillId="0" borderId="0" xfId="0" applyNumberFormat="1" applyFont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/>
    </xf>
    <xf numFmtId="0" fontId="9" fillId="6" borderId="22" xfId="0" applyFont="1" applyFill="1" applyBorder="1" applyAlignment="1">
      <alignment vertical="center"/>
    </xf>
    <xf numFmtId="0" fontId="9" fillId="6" borderId="22" xfId="0" applyFont="1" applyFill="1" applyBorder="1" applyAlignment="1">
      <alignment horizontal="right" vertical="center" wrapText="1"/>
    </xf>
    <xf numFmtId="4" fontId="9" fillId="6" borderId="22" xfId="0" applyNumberFormat="1" applyFont="1" applyFill="1" applyBorder="1" applyAlignment="1">
      <alignment horizontal="right" vertical="center" wrapText="1"/>
    </xf>
    <xf numFmtId="4" fontId="9" fillId="6" borderId="29" xfId="0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5" borderId="0" xfId="0" applyFont="1" applyFill="1" applyAlignment="1">
      <alignment horizontal="right" vertical="center"/>
    </xf>
    <xf numFmtId="0" fontId="11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4" fontId="9" fillId="0" borderId="40" xfId="0" applyNumberFormat="1" applyFont="1" applyBorder="1" applyAlignment="1">
      <alignment vertical="center" wrapText="1"/>
    </xf>
    <xf numFmtId="0" fontId="10" fillId="0" borderId="42" xfId="0" applyFont="1" applyBorder="1" applyAlignment="1">
      <alignment vertical="center" wrapText="1"/>
    </xf>
    <xf numFmtId="0" fontId="10" fillId="0" borderId="42" xfId="0" applyFont="1" applyBorder="1" applyAlignment="1">
      <alignment horizontal="right" vertical="center" wrapText="1"/>
    </xf>
    <xf numFmtId="4" fontId="10" fillId="0" borderId="42" xfId="0" applyNumberFormat="1" applyFont="1" applyBorder="1" applyAlignment="1">
      <alignment horizontal="right" vertical="center" wrapText="1"/>
    </xf>
    <xf numFmtId="4" fontId="9" fillId="0" borderId="23" xfId="0" applyNumberFormat="1" applyFont="1" applyBorder="1" applyAlignment="1">
      <alignment horizontal="right" vertical="center" wrapText="1"/>
    </xf>
    <xf numFmtId="0" fontId="0" fillId="6" borderId="22" xfId="0" applyFill="1" applyBorder="1" applyAlignment="1">
      <alignment horizontal="center" vertical="center" wrapText="1"/>
    </xf>
    <xf numFmtId="4" fontId="0" fillId="6" borderId="22" xfId="0" applyNumberFormat="1" applyFill="1" applyBorder="1" applyAlignment="1">
      <alignment horizontal="center" vertical="center" wrapText="1"/>
    </xf>
    <xf numFmtId="0" fontId="9" fillId="0" borderId="0" xfId="0" applyFont="1"/>
    <xf numFmtId="0" fontId="0" fillId="0" borderId="31" xfId="0" applyBorder="1" applyAlignment="1">
      <alignment horizontal="center" vertical="center" wrapText="1"/>
    </xf>
    <xf numFmtId="4" fontId="0" fillId="0" borderId="31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0" borderId="38" xfId="0" applyFont="1" applyBorder="1" applyAlignment="1">
      <alignment horizontal="center" vertical="center" wrapText="1"/>
    </xf>
    <xf numFmtId="4" fontId="10" fillId="0" borderId="38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" fontId="0" fillId="0" borderId="12" xfId="0" applyNumberForma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9" fontId="10" fillId="5" borderId="1" xfId="0" applyNumberFormat="1" applyFont="1" applyFill="1" applyBorder="1" applyAlignment="1" applyProtection="1">
      <alignment horizontal="center" vertical="center" wrapText="1"/>
      <protection locked="0"/>
    </xf>
    <xf numFmtId="4" fontId="10" fillId="5" borderId="1" xfId="0" applyNumberFormat="1" applyFont="1" applyFill="1" applyBorder="1" applyAlignment="1" applyProtection="1">
      <alignment horizontal="center" vertical="center" wrapText="1"/>
      <protection locked="0"/>
    </xf>
    <xf numFmtId="4" fontId="12" fillId="0" borderId="37" xfId="0" applyNumberFormat="1" applyFont="1" applyBorder="1" applyAlignment="1">
      <alignment horizontal="right" vertical="center" wrapText="1"/>
    </xf>
    <xf numFmtId="0" fontId="0" fillId="0" borderId="40" xfId="0" applyBorder="1" applyAlignment="1">
      <alignment horizontal="center" vertical="center" wrapText="1"/>
    </xf>
    <xf numFmtId="4" fontId="0" fillId="0" borderId="40" xfId="0" applyNumberForma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" fontId="10" fillId="5" borderId="1" xfId="0" applyNumberFormat="1" applyFont="1" applyFill="1" applyBorder="1" applyAlignment="1">
      <alignment horizontal="center" vertical="center" wrapText="1"/>
    </xf>
    <xf numFmtId="4" fontId="10" fillId="5" borderId="38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>
      <alignment horizontal="center" vertical="center" wrapText="1"/>
    </xf>
    <xf numFmtId="4" fontId="10" fillId="5" borderId="22" xfId="0" applyNumberFormat="1" applyFont="1" applyFill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/>
    </xf>
    <xf numFmtId="4" fontId="10" fillId="5" borderId="38" xfId="0" applyNumberFormat="1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4" fontId="0" fillId="0" borderId="42" xfId="0" applyNumberForma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vertical="center" wrapText="1"/>
    </xf>
    <xf numFmtId="0" fontId="17" fillId="0" borderId="31" xfId="0" applyFont="1" applyBorder="1" applyAlignment="1">
      <alignment horizontal="center" vertical="center" wrapText="1"/>
    </xf>
    <xf numFmtId="4" fontId="17" fillId="0" borderId="31" xfId="0" applyNumberFormat="1" applyFont="1" applyBorder="1" applyAlignment="1">
      <alignment horizontal="center" vertical="center" wrapText="1"/>
    </xf>
    <xf numFmtId="4" fontId="14" fillId="0" borderId="31" xfId="0" applyNumberFormat="1" applyFont="1" applyBorder="1" applyAlignment="1">
      <alignment horizontal="right" vertical="center" wrapText="1"/>
    </xf>
    <xf numFmtId="0" fontId="14" fillId="0" borderId="33" xfId="0" applyFont="1" applyBorder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4" fillId="0" borderId="33" xfId="0" applyFont="1" applyBorder="1" applyAlignment="1">
      <alignment horizontal="center" vertical="center"/>
    </xf>
    <xf numFmtId="0" fontId="11" fillId="0" borderId="40" xfId="0" applyFont="1" applyBorder="1" applyAlignment="1">
      <alignment vertical="center" wrapText="1"/>
    </xf>
    <xf numFmtId="0" fontId="17" fillId="0" borderId="40" xfId="0" applyFont="1" applyBorder="1" applyAlignment="1">
      <alignment horizontal="center" vertical="center" wrapText="1"/>
    </xf>
    <xf numFmtId="4" fontId="17" fillId="0" borderId="40" xfId="0" applyNumberFormat="1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4" fontId="10" fillId="0" borderId="3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9" fillId="0" borderId="33" xfId="0" applyFont="1" applyBorder="1" applyAlignment="1">
      <alignment vertical="center" wrapText="1"/>
    </xf>
    <xf numFmtId="4" fontId="9" fillId="0" borderId="40" xfId="0" applyNumberFormat="1" applyFont="1" applyBorder="1" applyAlignment="1">
      <alignment horizontal="center" vertical="center" wrapText="1"/>
    </xf>
    <xf numFmtId="0" fontId="11" fillId="0" borderId="38" xfId="0" applyFont="1" applyBorder="1" applyAlignment="1">
      <alignment vertical="center" wrapText="1"/>
    </xf>
    <xf numFmtId="0" fontId="12" fillId="0" borderId="37" xfId="0" applyFont="1" applyBorder="1" applyAlignment="1">
      <alignment horizontal="left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right" vertical="center"/>
    </xf>
    <xf numFmtId="4" fontId="9" fillId="6" borderId="1" xfId="0" applyNumberFormat="1" applyFont="1" applyFill="1" applyBorder="1" applyAlignment="1">
      <alignment horizontal="right" vertical="center"/>
    </xf>
    <xf numFmtId="4" fontId="9" fillId="6" borderId="15" xfId="0" applyNumberFormat="1" applyFont="1" applyFill="1" applyBorder="1" applyAlignment="1">
      <alignment horizontal="right" vertical="center"/>
    </xf>
    <xf numFmtId="0" fontId="10" fillId="0" borderId="22" xfId="0" applyFont="1" applyBorder="1" applyAlignment="1">
      <alignment horizontal="right" vertical="center"/>
    </xf>
    <xf numFmtId="4" fontId="10" fillId="5" borderId="22" xfId="0" applyNumberFormat="1" applyFont="1" applyFill="1" applyBorder="1" applyAlignment="1">
      <alignment horizontal="right" vertical="center"/>
    </xf>
    <xf numFmtId="4" fontId="10" fillId="0" borderId="22" xfId="0" applyNumberFormat="1" applyFont="1" applyBorder="1" applyAlignment="1">
      <alignment horizontal="right" vertical="center"/>
    </xf>
    <xf numFmtId="0" fontId="10" fillId="0" borderId="40" xfId="0" applyFont="1" applyBorder="1" applyAlignment="1">
      <alignment horizontal="right" vertical="center"/>
    </xf>
    <xf numFmtId="4" fontId="10" fillId="5" borderId="40" xfId="0" applyNumberFormat="1" applyFont="1" applyFill="1" applyBorder="1" applyAlignment="1">
      <alignment horizontal="right" vertical="center"/>
    </xf>
    <xf numFmtId="0" fontId="9" fillId="0" borderId="42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0" fontId="9" fillId="6" borderId="22" xfId="0" applyFont="1" applyFill="1" applyBorder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9" fillId="0" borderId="41" xfId="0" applyFont="1" applyBorder="1" applyAlignment="1">
      <alignment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right" vertical="center" wrapText="1"/>
    </xf>
    <xf numFmtId="4" fontId="9" fillId="6" borderId="1" xfId="0" applyNumberFormat="1" applyFont="1" applyFill="1" applyBorder="1" applyAlignment="1">
      <alignment horizontal="right" vertical="center" wrapText="1"/>
    </xf>
    <xf numFmtId="4" fontId="9" fillId="6" borderId="15" xfId="0" applyNumberFormat="1" applyFont="1" applyFill="1" applyBorder="1" applyAlignment="1">
      <alignment horizontal="right" vertical="center" wrapText="1"/>
    </xf>
    <xf numFmtId="0" fontId="18" fillId="0" borderId="40" xfId="0" applyFont="1" applyBorder="1" applyAlignment="1">
      <alignment vertical="center" wrapText="1"/>
    </xf>
    <xf numFmtId="4" fontId="18" fillId="0" borderId="35" xfId="0" applyNumberFormat="1" applyFont="1" applyBorder="1" applyAlignment="1">
      <alignment horizontal="right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4" fontId="9" fillId="0" borderId="32" xfId="0" applyNumberFormat="1" applyFont="1" applyBorder="1" applyAlignment="1">
      <alignment horizontal="right" vertical="center"/>
    </xf>
    <xf numFmtId="4" fontId="9" fillId="0" borderId="34" xfId="0" applyNumberFormat="1" applyFont="1" applyBorder="1" applyAlignment="1">
      <alignment horizontal="right" vertical="center"/>
    </xf>
    <xf numFmtId="4" fontId="9" fillId="0" borderId="39" xfId="0" applyNumberFormat="1" applyFont="1" applyBorder="1" applyAlignment="1">
      <alignment horizontal="right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4" fontId="14" fillId="0" borderId="32" xfId="0" applyNumberFormat="1" applyFont="1" applyBorder="1" applyAlignment="1">
      <alignment horizontal="right" vertical="center"/>
    </xf>
    <xf numFmtId="4" fontId="14" fillId="0" borderId="34" xfId="0" applyNumberFormat="1" applyFont="1" applyBorder="1" applyAlignment="1">
      <alignment horizontal="right" vertical="center"/>
    </xf>
    <xf numFmtId="4" fontId="14" fillId="0" borderId="39" xfId="0" applyNumberFormat="1" applyFont="1" applyBorder="1" applyAlignment="1">
      <alignment horizontal="right" vertical="center"/>
    </xf>
    <xf numFmtId="4" fontId="9" fillId="0" borderId="44" xfId="0" applyNumberFormat="1" applyFont="1" applyBorder="1" applyAlignment="1">
      <alignment horizontal="right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right" vertical="center"/>
    </xf>
    <xf numFmtId="0" fontId="9" fillId="0" borderId="42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0" fillId="0" borderId="35" xfId="0" applyBorder="1" applyAlignment="1">
      <alignment horizontal="center" vertical="center"/>
    </xf>
    <xf numFmtId="4" fontId="0" fillId="0" borderId="35" xfId="0" applyNumberFormat="1" applyBorder="1" applyAlignment="1">
      <alignment horizontal="center" vertical="center"/>
    </xf>
    <xf numFmtId="4" fontId="9" fillId="0" borderId="35" xfId="0" applyNumberFormat="1" applyFont="1" applyBorder="1" applyAlignment="1">
      <alignment horizontal="right" vertical="center"/>
    </xf>
    <xf numFmtId="4" fontId="9" fillId="0" borderId="44" xfId="0" applyNumberFormat="1" applyFont="1" applyBorder="1" applyAlignment="1">
      <alignment horizontal="right" vertical="center"/>
    </xf>
    <xf numFmtId="0" fontId="9" fillId="8" borderId="28" xfId="0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vertical="center"/>
    </xf>
    <xf numFmtId="0" fontId="0" fillId="8" borderId="22" xfId="0" applyFill="1" applyBorder="1" applyAlignment="1">
      <alignment horizontal="center" vertical="center" wrapText="1"/>
    </xf>
    <xf numFmtId="4" fontId="0" fillId="8" borderId="22" xfId="0" applyNumberFormat="1" applyFill="1" applyBorder="1" applyAlignment="1">
      <alignment horizontal="center" vertical="center" wrapText="1"/>
    </xf>
    <xf numFmtId="4" fontId="9" fillId="8" borderId="22" xfId="0" applyNumberFormat="1" applyFont="1" applyFill="1" applyBorder="1" applyAlignment="1">
      <alignment horizontal="right" vertical="center" wrapText="1"/>
    </xf>
    <xf numFmtId="4" fontId="9" fillId="8" borderId="29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22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4" fontId="11" fillId="0" borderId="22" xfId="0" applyNumberFormat="1" applyFont="1" applyBorder="1" applyAlignment="1">
      <alignment horizontal="center" vertical="center" wrapText="1"/>
    </xf>
    <xf numFmtId="4" fontId="11" fillId="0" borderId="22" xfId="0" applyNumberFormat="1" applyFont="1" applyBorder="1" applyAlignment="1">
      <alignment horizontal="right" vertical="center" wrapText="1"/>
    </xf>
    <xf numFmtId="0" fontId="14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 wrapText="1"/>
    </xf>
    <xf numFmtId="4" fontId="11" fillId="0" borderId="42" xfId="0" applyNumberFormat="1" applyFont="1" applyBorder="1" applyAlignment="1">
      <alignment horizontal="center" vertical="center" wrapText="1"/>
    </xf>
    <xf numFmtId="4" fontId="11" fillId="0" borderId="42" xfId="0" applyNumberFormat="1" applyFont="1" applyBorder="1" applyAlignment="1">
      <alignment horizontal="right" vertical="center" wrapText="1"/>
    </xf>
    <xf numFmtId="0" fontId="9" fillId="0" borderId="3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1" xfId="0" applyFont="1" applyBorder="1" applyAlignment="1">
      <alignment horizontal="left" vertical="center" wrapText="1"/>
    </xf>
    <xf numFmtId="4" fontId="0" fillId="0" borderId="37" xfId="0" applyNumberFormat="1" applyBorder="1" applyAlignment="1">
      <alignment horizontal="right" vertical="center" wrapText="1"/>
    </xf>
    <xf numFmtId="0" fontId="9" fillId="7" borderId="41" xfId="0" applyFont="1" applyFill="1" applyBorder="1" applyAlignment="1">
      <alignment horizontal="center" vertical="center"/>
    </xf>
    <xf numFmtId="0" fontId="9" fillId="7" borderId="42" xfId="0" applyFont="1" applyFill="1" applyBorder="1" applyAlignment="1">
      <alignment vertical="center" wrapText="1"/>
    </xf>
    <xf numFmtId="0" fontId="0" fillId="7" borderId="42" xfId="0" applyFill="1" applyBorder="1" applyAlignment="1">
      <alignment horizontal="center" vertical="center" wrapText="1"/>
    </xf>
    <xf numFmtId="4" fontId="0" fillId="7" borderId="42" xfId="0" applyNumberFormat="1" applyFill="1" applyBorder="1" applyAlignment="1">
      <alignment horizontal="center" vertical="center" wrapText="1"/>
    </xf>
    <xf numFmtId="4" fontId="9" fillId="7" borderId="42" xfId="0" applyNumberFormat="1" applyFont="1" applyFill="1" applyBorder="1" applyAlignment="1">
      <alignment horizontal="right" vertical="center" wrapText="1"/>
    </xf>
    <xf numFmtId="4" fontId="9" fillId="7" borderId="43" xfId="0" applyNumberFormat="1" applyFont="1" applyFill="1" applyBorder="1" applyAlignment="1">
      <alignment horizontal="right" vertical="center" wrapText="1"/>
    </xf>
    <xf numFmtId="0" fontId="9" fillId="8" borderId="30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vertical="center" wrapText="1"/>
    </xf>
    <xf numFmtId="0" fontId="0" fillId="8" borderId="31" xfId="0" applyFill="1" applyBorder="1" applyAlignment="1">
      <alignment horizontal="center" vertical="center" wrapText="1"/>
    </xf>
    <xf numFmtId="4" fontId="0" fillId="8" borderId="31" xfId="0" applyNumberFormat="1" applyFill="1" applyBorder="1" applyAlignment="1">
      <alignment horizontal="center" vertical="center" wrapText="1"/>
    </xf>
    <xf numFmtId="4" fontId="9" fillId="8" borderId="31" xfId="0" applyNumberFormat="1" applyFont="1" applyFill="1" applyBorder="1" applyAlignment="1">
      <alignment horizontal="right" vertical="center" wrapText="1"/>
    </xf>
    <xf numFmtId="4" fontId="9" fillId="8" borderId="32" xfId="0" applyNumberFormat="1" applyFont="1" applyFill="1" applyBorder="1" applyAlignment="1">
      <alignment horizontal="right" vertical="center" wrapText="1"/>
    </xf>
    <xf numFmtId="9" fontId="10" fillId="0" borderId="22" xfId="0" applyNumberFormat="1" applyFont="1" applyBorder="1" applyAlignment="1">
      <alignment horizontal="center" vertical="center" wrapText="1"/>
    </xf>
    <xf numFmtId="4" fontId="10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>
      <alignment vertical="center" wrapText="1"/>
    </xf>
    <xf numFmtId="4" fontId="10" fillId="0" borderId="64" xfId="0" applyNumberFormat="1" applyFont="1" applyBorder="1" applyAlignment="1">
      <alignment horizontal="right" vertical="center" wrapText="1"/>
    </xf>
    <xf numFmtId="0" fontId="10" fillId="0" borderId="47" xfId="0" applyFont="1" applyBorder="1" applyAlignment="1">
      <alignment vertical="center" wrapText="1"/>
    </xf>
    <xf numFmtId="4" fontId="10" fillId="0" borderId="65" xfId="0" applyNumberFormat="1" applyFont="1" applyBorder="1" applyAlignment="1">
      <alignment horizontal="right" vertical="center" wrapText="1"/>
    </xf>
    <xf numFmtId="4" fontId="0" fillId="5" borderId="1" xfId="0" applyNumberFormat="1" applyFill="1" applyBorder="1" applyAlignment="1" applyProtection="1">
      <alignment horizontal="center" vertical="center" wrapText="1"/>
      <protection locked="0"/>
    </xf>
    <xf numFmtId="0" fontId="10" fillId="0" borderId="35" xfId="0" applyFont="1" applyBorder="1" applyAlignment="1">
      <alignment horizontal="center" vertical="center" wrapText="1"/>
    </xf>
    <xf numFmtId="4" fontId="0" fillId="0" borderId="35" xfId="0" applyNumberFormat="1" applyBorder="1" applyAlignment="1">
      <alignment horizontal="center" vertical="center" wrapText="1"/>
    </xf>
    <xf numFmtId="4" fontId="0" fillId="5" borderId="35" xfId="0" applyNumberFormat="1" applyFill="1" applyBorder="1" applyAlignment="1" applyProtection="1">
      <alignment horizontal="center" vertical="center" wrapText="1"/>
      <protection locked="0"/>
    </xf>
    <xf numFmtId="0" fontId="0" fillId="0" borderId="35" xfId="0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1" fontId="10" fillId="0" borderId="22" xfId="0" applyNumberFormat="1" applyFont="1" applyBorder="1" applyAlignment="1">
      <alignment horizontal="center" vertical="center" wrapText="1"/>
    </xf>
    <xf numFmtId="4" fontId="10" fillId="0" borderId="22" xfId="0" applyNumberFormat="1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4" fontId="0" fillId="0" borderId="38" xfId="0" applyNumberForma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4" fontId="10" fillId="0" borderId="40" xfId="0" applyNumberFormat="1" applyFont="1" applyBorder="1" applyAlignment="1">
      <alignment horizontal="center" vertical="center" wrapText="1"/>
    </xf>
    <xf numFmtId="4" fontId="9" fillId="0" borderId="31" xfId="0" applyNumberFormat="1" applyFont="1" applyBorder="1" applyAlignment="1">
      <alignment vertical="center" wrapText="1"/>
    </xf>
    <xf numFmtId="0" fontId="11" fillId="0" borderId="37" xfId="0" applyFont="1" applyBorder="1" applyAlignment="1">
      <alignment vertical="center" wrapText="1"/>
    </xf>
    <xf numFmtId="0" fontId="0" fillId="0" borderId="43" xfId="0" applyBorder="1" applyAlignment="1">
      <alignment horizontal="center" vertical="center"/>
    </xf>
    <xf numFmtId="4" fontId="0" fillId="0" borderId="43" xfId="0" applyNumberForma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4" fontId="9" fillId="0" borderId="32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4" fontId="9" fillId="0" borderId="39" xfId="0" applyNumberFormat="1" applyFont="1" applyBorder="1" applyAlignment="1">
      <alignment horizontal="right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4" fontId="9" fillId="0" borderId="32" xfId="0" applyNumberFormat="1" applyFont="1" applyBorder="1" applyAlignment="1">
      <alignment horizontal="right" vertical="center"/>
    </xf>
    <xf numFmtId="4" fontId="9" fillId="0" borderId="34" xfId="0" applyNumberFormat="1" applyFont="1" applyBorder="1" applyAlignment="1">
      <alignment horizontal="right" vertical="center"/>
    </xf>
    <xf numFmtId="4" fontId="9" fillId="0" borderId="39" xfId="0" applyNumberFormat="1" applyFont="1" applyBorder="1" applyAlignment="1">
      <alignment horizontal="right" vertical="center"/>
    </xf>
    <xf numFmtId="4" fontId="14" fillId="0" borderId="32" xfId="0" applyNumberFormat="1" applyFont="1" applyBorder="1" applyAlignment="1">
      <alignment horizontal="right" vertical="center"/>
    </xf>
    <xf numFmtId="4" fontId="14" fillId="0" borderId="34" xfId="0" applyNumberFormat="1" applyFont="1" applyBorder="1" applyAlignment="1">
      <alignment horizontal="right" vertical="center"/>
    </xf>
    <xf numFmtId="4" fontId="14" fillId="0" borderId="39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15" fillId="0" borderId="0" xfId="0" applyFont="1" applyAlignment="1">
      <alignment horizontal="justify" vertical="justify" wrapText="1"/>
    </xf>
    <xf numFmtId="0" fontId="15" fillId="0" borderId="0" xfId="0" applyFont="1" applyAlignment="1">
      <alignment horizontal="justify" vertical="center" wrapText="1"/>
    </xf>
    <xf numFmtId="0" fontId="16" fillId="0" borderId="0" xfId="0" applyFont="1" applyAlignment="1">
      <alignment horizontal="justify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1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4" fontId="9" fillId="0" borderId="13" xfId="0" applyNumberFormat="1" applyFont="1" applyBorder="1" applyAlignment="1">
      <alignment horizontal="right" vertical="center" wrapText="1"/>
    </xf>
    <xf numFmtId="4" fontId="9" fillId="0" borderId="44" xfId="0" applyNumberFormat="1" applyFont="1" applyBorder="1" applyAlignment="1">
      <alignment horizontal="right" vertical="center" wrapText="1"/>
    </xf>
    <xf numFmtId="4" fontId="9" fillId="0" borderId="15" xfId="0" applyNumberFormat="1" applyFont="1" applyBorder="1" applyAlignment="1">
      <alignment horizontal="right" vertical="center" wrapText="1"/>
    </xf>
    <xf numFmtId="4" fontId="9" fillId="0" borderId="18" xfId="0" applyNumberFormat="1" applyFont="1" applyBorder="1" applyAlignment="1">
      <alignment horizontal="right" vertical="center" wrapText="1"/>
    </xf>
    <xf numFmtId="0" fontId="9" fillId="0" borderId="48" xfId="0" applyFont="1" applyBorder="1" applyAlignment="1">
      <alignment horizontal="center" vertical="center"/>
    </xf>
    <xf numFmtId="4" fontId="9" fillId="0" borderId="49" xfId="0" applyNumberFormat="1" applyFont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 wrapText="1"/>
    </xf>
    <xf numFmtId="4" fontId="14" fillId="0" borderId="32" xfId="0" applyNumberFormat="1" applyFont="1" applyBorder="1" applyAlignment="1">
      <alignment horizontal="right" vertical="center" wrapText="1"/>
    </xf>
    <xf numFmtId="4" fontId="14" fillId="0" borderId="34" xfId="0" applyNumberFormat="1" applyFont="1" applyBorder="1" applyAlignment="1">
      <alignment horizontal="right" vertical="center" wrapText="1"/>
    </xf>
  </cellXfs>
  <cellStyles count="1">
    <cellStyle name="Normalny" xfId="0" builtinId="0"/>
  </cellStyles>
  <dxfs count="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N:\GZO\PROJEKT%20PLANU\2026\2026-P1%20-%20projekt%20planu%20finans.xls" TargetMode="External"/><Relationship Id="rId1" Type="http://schemas.openxmlformats.org/officeDocument/2006/relationships/externalLinkPath" Target="file:///N:\GZO\PROJEKT%20PLANU\2026\2026-P1%20-%20projekt%20planu%20finan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1 - wydatki war. 1"/>
      <sheetName val="P1 - wydatki war. 2 - wzrost 5%"/>
      <sheetName val="P1 - wydatki war. 3 - wzrost 7%"/>
      <sheetName val="P1 - wydatki war. 4 -wzrost 10%"/>
      <sheetName val="dochody P1 war. 1"/>
      <sheetName val="dochody P1 war. 2 -wzrost 5%"/>
      <sheetName val="dochody P1 war. 3 -wzrost 7%"/>
      <sheetName val="dochody P1 war. 4 -wzrost 10%"/>
    </sheetNames>
    <sheetDataSet>
      <sheetData sheetId="0">
        <row r="54">
          <cell r="D54">
            <v>400</v>
          </cell>
        </row>
        <row r="64">
          <cell r="D64">
            <v>120</v>
          </cell>
        </row>
        <row r="65">
          <cell r="D65">
            <v>150</v>
          </cell>
        </row>
        <row r="66">
          <cell r="D66">
            <v>127</v>
          </cell>
        </row>
        <row r="70">
          <cell r="D70">
            <v>300</v>
          </cell>
        </row>
        <row r="71">
          <cell r="D71">
            <v>260</v>
          </cell>
        </row>
        <row r="72">
          <cell r="D72">
            <v>0</v>
          </cell>
        </row>
        <row r="75">
          <cell r="D75">
            <v>840</v>
          </cell>
        </row>
        <row r="76">
          <cell r="D76">
            <v>87</v>
          </cell>
        </row>
        <row r="77">
          <cell r="D77">
            <v>119</v>
          </cell>
        </row>
        <row r="78">
          <cell r="D78">
            <v>1000</v>
          </cell>
        </row>
        <row r="156">
          <cell r="D156">
            <v>1665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AB983-868C-420A-B3C8-A1BE39341806}">
  <sheetPr>
    <pageSetUpPr fitToPage="1"/>
  </sheetPr>
  <dimension ref="A2:M192"/>
  <sheetViews>
    <sheetView topLeftCell="A173" workbookViewId="0">
      <selection activeCell="D9" sqref="D9"/>
    </sheetView>
  </sheetViews>
  <sheetFormatPr defaultRowHeight="15" x14ac:dyDescent="0.25"/>
  <cols>
    <col min="2" max="2" width="17.140625" customWidth="1"/>
    <col min="3" max="3" width="13.7109375" customWidth="1"/>
    <col min="4" max="4" width="17.85546875" customWidth="1"/>
    <col min="5" max="5" width="15.7109375" customWidth="1"/>
    <col min="6" max="6" width="11.85546875" bestFit="1" customWidth="1"/>
    <col min="7" max="7" width="13.42578125" bestFit="1" customWidth="1"/>
    <col min="8" max="8" width="11.140625" customWidth="1"/>
    <col min="9" max="9" width="21.140625" customWidth="1"/>
    <col min="10" max="10" width="11" customWidth="1"/>
  </cols>
  <sheetData>
    <row r="2" spans="2:10" x14ac:dyDescent="0.25">
      <c r="B2" t="s">
        <v>113</v>
      </c>
    </row>
    <row r="4" spans="2:10" ht="15.75" thickBot="1" x14ac:dyDescent="0.3">
      <c r="B4" t="s">
        <v>2</v>
      </c>
    </row>
    <row r="5" spans="2:10" ht="15.75" thickBot="1" x14ac:dyDescent="0.3">
      <c r="G5" s="40"/>
      <c r="H5" s="41"/>
      <c r="I5" s="41"/>
      <c r="J5" s="42"/>
    </row>
    <row r="6" spans="2:10" ht="25.5" customHeight="1" x14ac:dyDescent="0.25">
      <c r="B6" s="31">
        <v>2024</v>
      </c>
      <c r="C6" s="32" t="s">
        <v>8</v>
      </c>
      <c r="D6" s="33" t="s">
        <v>4</v>
      </c>
      <c r="E6" s="34" t="s">
        <v>3</v>
      </c>
      <c r="G6" s="43">
        <v>2025</v>
      </c>
      <c r="H6" s="1" t="s">
        <v>8</v>
      </c>
      <c r="I6" s="2" t="s">
        <v>4</v>
      </c>
      <c r="J6" s="36" t="s">
        <v>3</v>
      </c>
    </row>
    <row r="7" spans="2:10" ht="42.75" customHeight="1" x14ac:dyDescent="0.25">
      <c r="B7" s="35" t="s">
        <v>0</v>
      </c>
      <c r="C7" s="1">
        <v>27</v>
      </c>
      <c r="D7" s="1">
        <v>12</v>
      </c>
      <c r="E7" s="36">
        <f>D7+C7</f>
        <v>39</v>
      </c>
      <c r="G7" s="43" t="s">
        <v>5</v>
      </c>
      <c r="H7" s="1">
        <v>21</v>
      </c>
      <c r="I7" s="1">
        <v>8</v>
      </c>
      <c r="J7" s="36">
        <f>I7+H7</f>
        <v>29</v>
      </c>
    </row>
    <row r="8" spans="2:10" ht="42" customHeight="1" x14ac:dyDescent="0.25">
      <c r="B8" s="35" t="s">
        <v>85</v>
      </c>
      <c r="C8" s="1">
        <v>24</v>
      </c>
      <c r="D8" s="1">
        <v>8</v>
      </c>
      <c r="E8" s="36">
        <f t="shared" ref="E8:E9" si="0">D8+C8</f>
        <v>32</v>
      </c>
      <c r="G8" s="43" t="s">
        <v>6</v>
      </c>
      <c r="H8" s="1">
        <v>15</v>
      </c>
      <c r="I8" s="1">
        <v>6</v>
      </c>
      <c r="J8" s="36">
        <f t="shared" ref="J8:J9" si="1">I8+H8</f>
        <v>21</v>
      </c>
    </row>
    <row r="9" spans="2:10" ht="35.25" customHeight="1" x14ac:dyDescent="0.25">
      <c r="B9" s="35" t="s">
        <v>1</v>
      </c>
      <c r="C9" s="1">
        <v>11</v>
      </c>
      <c r="D9" s="1">
        <v>11</v>
      </c>
      <c r="E9" s="36">
        <f t="shared" si="0"/>
        <v>22</v>
      </c>
      <c r="G9" s="43" t="s">
        <v>7</v>
      </c>
      <c r="H9" s="1">
        <v>8</v>
      </c>
      <c r="I9" s="1">
        <v>8</v>
      </c>
      <c r="J9" s="36">
        <f t="shared" si="1"/>
        <v>16</v>
      </c>
    </row>
    <row r="10" spans="2:10" ht="15.75" thickBot="1" x14ac:dyDescent="0.3">
      <c r="B10" s="37"/>
      <c r="C10" s="38"/>
      <c r="D10" s="38"/>
      <c r="E10" s="39">
        <f>E7+E8+E9</f>
        <v>93</v>
      </c>
      <c r="G10" s="37"/>
      <c r="H10" s="38"/>
      <c r="I10" s="38"/>
      <c r="J10" s="39">
        <f>SUM(J7:J9)</f>
        <v>66</v>
      </c>
    </row>
    <row r="13" spans="2:10" x14ac:dyDescent="0.25">
      <c r="B13" t="s">
        <v>9</v>
      </c>
    </row>
    <row r="14" spans="2:10" x14ac:dyDescent="0.25">
      <c r="B14" t="s">
        <v>10</v>
      </c>
    </row>
    <row r="18" spans="2:7" ht="27" customHeight="1" x14ac:dyDescent="0.25">
      <c r="B18" t="s">
        <v>11</v>
      </c>
    </row>
    <row r="19" spans="2:7" ht="33.75" customHeight="1" x14ac:dyDescent="0.25">
      <c r="B19" t="s">
        <v>15</v>
      </c>
    </row>
    <row r="20" spans="2:7" x14ac:dyDescent="0.25">
      <c r="B20" s="1"/>
      <c r="C20" s="1" t="s">
        <v>5</v>
      </c>
      <c r="D20" s="1" t="s">
        <v>6</v>
      </c>
      <c r="E20" s="1" t="s">
        <v>7</v>
      </c>
    </row>
    <row r="21" spans="2:7" ht="60" x14ac:dyDescent="0.25">
      <c r="B21" s="2" t="s">
        <v>16</v>
      </c>
      <c r="C21" s="13">
        <v>1534577.63</v>
      </c>
      <c r="D21" s="13">
        <v>1211735.52</v>
      </c>
      <c r="E21" s="13">
        <v>651193.66</v>
      </c>
      <c r="F21" s="9"/>
    </row>
    <row r="22" spans="2:7" x14ac:dyDescent="0.25">
      <c r="B22" s="1"/>
      <c r="C22" s="4">
        <v>211225.84</v>
      </c>
      <c r="D22" s="4">
        <v>218175.78</v>
      </c>
      <c r="E22" s="4">
        <v>7500</v>
      </c>
    </row>
    <row r="23" spans="2:7" x14ac:dyDescent="0.25">
      <c r="B23" s="1"/>
      <c r="C23" s="4">
        <v>319987.28999999998</v>
      </c>
      <c r="D23" s="4">
        <v>22000</v>
      </c>
      <c r="E23" s="4"/>
    </row>
    <row r="24" spans="2:7" ht="15.75" thickBot="1" x14ac:dyDescent="0.3">
      <c r="B24" s="1"/>
      <c r="C24" s="1"/>
      <c r="D24" s="4">
        <v>69199.27</v>
      </c>
      <c r="E24" s="1"/>
      <c r="G24" s="7"/>
    </row>
    <row r="25" spans="2:7" ht="15.75" thickBot="1" x14ac:dyDescent="0.3">
      <c r="B25" s="1"/>
      <c r="C25" s="4">
        <f>SUM(C21:C24)</f>
        <v>2065790.76</v>
      </c>
      <c r="D25" s="4">
        <f>SUM(D21:D24)</f>
        <v>1521110.57</v>
      </c>
      <c r="E25" s="5">
        <f>SUM(E21:E24)</f>
        <v>658693.66</v>
      </c>
      <c r="F25" s="6" t="s">
        <v>12</v>
      </c>
      <c r="G25" s="8">
        <f>SUM(C25+D25+E25)</f>
        <v>4245594.99</v>
      </c>
    </row>
    <row r="27" spans="2:7" x14ac:dyDescent="0.25">
      <c r="B27" t="s">
        <v>13</v>
      </c>
    </row>
    <row r="29" spans="2:7" ht="30" customHeight="1" x14ac:dyDescent="0.25">
      <c r="B29" t="s">
        <v>14</v>
      </c>
    </row>
    <row r="30" spans="2:7" x14ac:dyDescent="0.25">
      <c r="B30" s="1"/>
      <c r="C30" s="1" t="s">
        <v>5</v>
      </c>
      <c r="D30" s="1" t="s">
        <v>6</v>
      </c>
      <c r="E30" s="1" t="s">
        <v>7</v>
      </c>
    </row>
    <row r="31" spans="2:7" x14ac:dyDescent="0.25">
      <c r="B31" s="1"/>
      <c r="C31" s="4">
        <v>2699625.91</v>
      </c>
      <c r="D31" s="4">
        <v>2013532</v>
      </c>
      <c r="E31" s="4">
        <v>1283781.1399999999</v>
      </c>
    </row>
    <row r="32" spans="2:7" x14ac:dyDescent="0.25">
      <c r="B32" s="1"/>
      <c r="C32" s="4">
        <v>301587</v>
      </c>
      <c r="D32" s="4">
        <v>384134</v>
      </c>
      <c r="E32" s="4">
        <v>2800</v>
      </c>
    </row>
    <row r="33" spans="1:7" x14ac:dyDescent="0.25">
      <c r="B33" s="1"/>
      <c r="C33" s="4">
        <v>15168.09</v>
      </c>
      <c r="D33" s="4">
        <v>27740</v>
      </c>
      <c r="E33" s="4">
        <v>400480.99</v>
      </c>
    </row>
    <row r="34" spans="1:7" x14ac:dyDescent="0.25">
      <c r="B34" s="1"/>
      <c r="C34" s="4">
        <v>247751</v>
      </c>
      <c r="D34" s="4">
        <v>9000</v>
      </c>
      <c r="E34" s="4">
        <v>41279.53</v>
      </c>
    </row>
    <row r="35" spans="1:7" x14ac:dyDescent="0.25">
      <c r="B35" s="1"/>
      <c r="C35" s="4">
        <v>437478</v>
      </c>
      <c r="D35" s="4">
        <v>307921</v>
      </c>
      <c r="E35" s="4"/>
    </row>
    <row r="36" spans="1:7" x14ac:dyDescent="0.25">
      <c r="B36" s="1"/>
      <c r="C36" s="4"/>
      <c r="D36" s="4">
        <v>102213</v>
      </c>
      <c r="E36" s="4"/>
    </row>
    <row r="37" spans="1:7" x14ac:dyDescent="0.25">
      <c r="B37" s="1"/>
      <c r="C37" s="4"/>
      <c r="D37" s="4"/>
      <c r="E37" s="4"/>
    </row>
    <row r="38" spans="1:7" ht="15.75" thickBot="1" x14ac:dyDescent="0.3">
      <c r="B38" s="1"/>
      <c r="C38" s="1"/>
      <c r="D38" s="4"/>
      <c r="E38" s="1"/>
    </row>
    <row r="39" spans="1:7" ht="15.75" thickBot="1" x14ac:dyDescent="0.3">
      <c r="B39" s="1"/>
      <c r="C39" s="4">
        <f>SUM(C31:C38)</f>
        <v>3701610</v>
      </c>
      <c r="D39" s="4">
        <f>SUM(D31:D38)</f>
        <v>2844540</v>
      </c>
      <c r="E39" s="5">
        <f>SUM(E31:E38)</f>
        <v>1728341.66</v>
      </c>
      <c r="F39" s="6" t="s">
        <v>12</v>
      </c>
      <c r="G39" s="8">
        <f>SUM(C39:E39)</f>
        <v>8274491.6600000001</v>
      </c>
    </row>
    <row r="40" spans="1:7" ht="47.25" customHeight="1" x14ac:dyDescent="0.25">
      <c r="B40" s="12" t="s">
        <v>23</v>
      </c>
    </row>
    <row r="41" spans="1:7" ht="28.5" customHeight="1" x14ac:dyDescent="0.25">
      <c r="A41" s="9"/>
      <c r="B41" s="9" t="s">
        <v>114</v>
      </c>
    </row>
    <row r="42" spans="1:7" x14ac:dyDescent="0.25">
      <c r="B42" t="s">
        <v>17</v>
      </c>
    </row>
    <row r="44" spans="1:7" x14ac:dyDescent="0.25">
      <c r="B44" s="1"/>
      <c r="C44" s="1" t="s">
        <v>5</v>
      </c>
      <c r="D44" s="1" t="s">
        <v>6</v>
      </c>
      <c r="E44" s="1" t="s">
        <v>7</v>
      </c>
    </row>
    <row r="45" spans="1:7" ht="30" x14ac:dyDescent="0.25">
      <c r="B45" s="2" t="s">
        <v>18</v>
      </c>
      <c r="C45" s="4">
        <v>74874.8</v>
      </c>
      <c r="D45" s="4">
        <v>140235.35999999999</v>
      </c>
      <c r="E45" s="4">
        <v>22208.799999999999</v>
      </c>
      <c r="F45" s="3"/>
    </row>
    <row r="46" spans="1:7" ht="45" x14ac:dyDescent="0.25">
      <c r="B46" s="10" t="s">
        <v>19</v>
      </c>
      <c r="C46" s="4">
        <v>45645.599999999999</v>
      </c>
      <c r="D46" s="4">
        <v>19488</v>
      </c>
      <c r="E46" s="4">
        <v>44200</v>
      </c>
      <c r="F46" s="3"/>
    </row>
    <row r="47" spans="1:7" ht="45" x14ac:dyDescent="0.25">
      <c r="B47" s="2" t="s">
        <v>20</v>
      </c>
      <c r="C47" s="4"/>
      <c r="D47" s="4"/>
      <c r="E47" s="4">
        <v>16649.34</v>
      </c>
      <c r="F47" s="3"/>
    </row>
    <row r="48" spans="1:7" x14ac:dyDescent="0.25">
      <c r="B48" s="1"/>
      <c r="C48" s="4"/>
      <c r="D48" s="4"/>
      <c r="E48" s="4"/>
      <c r="F48" s="3"/>
    </row>
    <row r="49" spans="2:7" ht="15.75" thickBot="1" x14ac:dyDescent="0.3">
      <c r="B49" s="1"/>
      <c r="C49" s="4"/>
      <c r="D49" s="4"/>
      <c r="E49" s="4"/>
      <c r="F49" s="3"/>
    </row>
    <row r="50" spans="2:7" ht="15.75" thickBot="1" x14ac:dyDescent="0.3">
      <c r="B50" s="1" t="s">
        <v>21</v>
      </c>
      <c r="C50" s="4">
        <f>SUM(C45+C46+C47+C48)</f>
        <v>120520.4</v>
      </c>
      <c r="D50" s="4">
        <f>SUM(D45:D49)</f>
        <v>159723.35999999999</v>
      </c>
      <c r="E50" s="5">
        <f>SUM(E45:E49)</f>
        <v>83058.14</v>
      </c>
      <c r="F50" s="11" t="s">
        <v>22</v>
      </c>
      <c r="G50" s="8">
        <f>SUM(C50:E50)</f>
        <v>363301.9</v>
      </c>
    </row>
    <row r="53" spans="2:7" x14ac:dyDescent="0.25">
      <c r="B53" t="s">
        <v>24</v>
      </c>
    </row>
    <row r="56" spans="2:7" x14ac:dyDescent="0.25">
      <c r="B56" t="s">
        <v>25</v>
      </c>
    </row>
    <row r="58" spans="2:7" x14ac:dyDescent="0.25">
      <c r="C58" s="1" t="s">
        <v>26</v>
      </c>
      <c r="D58" s="13">
        <v>90000</v>
      </c>
    </row>
    <row r="59" spans="2:7" x14ac:dyDescent="0.25">
      <c r="C59" s="1" t="s">
        <v>27</v>
      </c>
      <c r="D59" s="13">
        <v>3000</v>
      </c>
    </row>
    <row r="60" spans="2:7" ht="75" x14ac:dyDescent="0.25">
      <c r="C60" s="2" t="s">
        <v>28</v>
      </c>
      <c r="D60" s="13">
        <v>17400</v>
      </c>
    </row>
    <row r="61" spans="2:7" x14ac:dyDescent="0.25">
      <c r="C61" s="2" t="s">
        <v>31</v>
      </c>
      <c r="D61" s="13">
        <v>2300</v>
      </c>
    </row>
    <row r="62" spans="2:7" x14ac:dyDescent="0.25">
      <c r="C62" s="2" t="s">
        <v>32</v>
      </c>
      <c r="D62" s="13">
        <v>17500</v>
      </c>
    </row>
    <row r="63" spans="2:7" x14ac:dyDescent="0.25">
      <c r="C63" s="1" t="s">
        <v>29</v>
      </c>
      <c r="D63" s="13">
        <v>600</v>
      </c>
    </row>
    <row r="64" spans="2:7" x14ac:dyDescent="0.25">
      <c r="C64" s="25" t="s">
        <v>30</v>
      </c>
      <c r="D64" s="26">
        <f>SUM(D58:D63)</f>
        <v>130800</v>
      </c>
    </row>
    <row r="67" spans="2:10" ht="34.5" customHeight="1" x14ac:dyDescent="0.25">
      <c r="B67" s="9" t="s">
        <v>33</v>
      </c>
    </row>
    <row r="68" spans="2:10" x14ac:dyDescent="0.25">
      <c r="B68" t="s">
        <v>34</v>
      </c>
    </row>
    <row r="70" spans="2:10" x14ac:dyDescent="0.25">
      <c r="B70" t="s">
        <v>86</v>
      </c>
    </row>
    <row r="72" spans="2:10" x14ac:dyDescent="0.25">
      <c r="B72" s="381" t="s">
        <v>43</v>
      </c>
      <c r="C72" s="382"/>
      <c r="D72" s="381" t="s">
        <v>44</v>
      </c>
      <c r="E72" s="382"/>
      <c r="F72" s="381" t="s">
        <v>45</v>
      </c>
      <c r="G72" s="382"/>
      <c r="H72" s="381" t="s">
        <v>46</v>
      </c>
      <c r="I72" s="382"/>
      <c r="J72" s="14" t="s">
        <v>47</v>
      </c>
    </row>
    <row r="73" spans="2:10" x14ac:dyDescent="0.25">
      <c r="B73" s="375" t="s">
        <v>48</v>
      </c>
      <c r="C73" s="376"/>
      <c r="D73" s="377" t="s">
        <v>49</v>
      </c>
      <c r="E73" s="378"/>
      <c r="F73" s="377" t="s">
        <v>49</v>
      </c>
      <c r="G73" s="378"/>
      <c r="H73" s="379" t="s">
        <v>50</v>
      </c>
      <c r="I73" s="380"/>
      <c r="J73" s="15">
        <f>J119</f>
        <v>2750940</v>
      </c>
    </row>
    <row r="74" spans="2:10" ht="15" customHeight="1" x14ac:dyDescent="0.25">
      <c r="B74" s="357" t="s">
        <v>49</v>
      </c>
      <c r="C74" s="368"/>
      <c r="D74" s="369" t="s">
        <v>51</v>
      </c>
      <c r="E74" s="370"/>
      <c r="F74" s="369" t="s">
        <v>49</v>
      </c>
      <c r="G74" s="370"/>
      <c r="H74" s="371" t="s">
        <v>52</v>
      </c>
      <c r="I74" s="372"/>
      <c r="J74" s="18">
        <f>SUM(J75:J97)</f>
        <v>1898380</v>
      </c>
    </row>
    <row r="75" spans="2:10" ht="23.25" customHeight="1" x14ac:dyDescent="0.25">
      <c r="B75" s="357" t="s">
        <v>49</v>
      </c>
      <c r="C75" s="358"/>
      <c r="D75" s="359" t="s">
        <v>49</v>
      </c>
      <c r="E75" s="360"/>
      <c r="F75" s="361">
        <v>3020</v>
      </c>
      <c r="G75" s="362"/>
      <c r="H75" s="363" t="s">
        <v>53</v>
      </c>
      <c r="I75" s="364"/>
      <c r="J75" s="24">
        <v>61600</v>
      </c>
    </row>
    <row r="76" spans="2:10" ht="21.75" customHeight="1" x14ac:dyDescent="0.25">
      <c r="B76" s="357" t="s">
        <v>49</v>
      </c>
      <c r="C76" s="358"/>
      <c r="D76" s="359" t="s">
        <v>49</v>
      </c>
      <c r="E76" s="360"/>
      <c r="F76" s="361">
        <v>4010</v>
      </c>
      <c r="G76" s="362"/>
      <c r="H76" s="363" t="s">
        <v>55</v>
      </c>
      <c r="I76" s="364"/>
      <c r="J76" s="24">
        <v>340000</v>
      </c>
    </row>
    <row r="77" spans="2:10" ht="15" customHeight="1" x14ac:dyDescent="0.25">
      <c r="B77" s="357" t="s">
        <v>49</v>
      </c>
      <c r="C77" s="358"/>
      <c r="D77" s="359" t="s">
        <v>49</v>
      </c>
      <c r="E77" s="360"/>
      <c r="F77" s="361">
        <v>4040</v>
      </c>
      <c r="G77" s="362"/>
      <c r="H77" s="363" t="s">
        <v>40</v>
      </c>
      <c r="I77" s="364"/>
      <c r="J77" s="24">
        <v>16000</v>
      </c>
    </row>
    <row r="78" spans="2:10" ht="15" customHeight="1" x14ac:dyDescent="0.25">
      <c r="B78" s="357" t="s">
        <v>49</v>
      </c>
      <c r="C78" s="358"/>
      <c r="D78" s="359" t="s">
        <v>49</v>
      </c>
      <c r="E78" s="360"/>
      <c r="F78" s="361">
        <v>4110</v>
      </c>
      <c r="G78" s="362"/>
      <c r="H78" s="363" t="s">
        <v>58</v>
      </c>
      <c r="I78" s="364"/>
      <c r="J78" s="24">
        <v>210000</v>
      </c>
    </row>
    <row r="79" spans="2:10" ht="18" customHeight="1" x14ac:dyDescent="0.25">
      <c r="B79" s="357" t="s">
        <v>49</v>
      </c>
      <c r="C79" s="358"/>
      <c r="D79" s="359" t="s">
        <v>49</v>
      </c>
      <c r="E79" s="360"/>
      <c r="F79" s="361">
        <v>4120</v>
      </c>
      <c r="G79" s="362"/>
      <c r="H79" s="363" t="s">
        <v>60</v>
      </c>
      <c r="I79" s="364"/>
      <c r="J79" s="24">
        <v>24000</v>
      </c>
    </row>
    <row r="80" spans="2:10" ht="22.5" customHeight="1" x14ac:dyDescent="0.25">
      <c r="B80" s="357" t="s">
        <v>49</v>
      </c>
      <c r="C80" s="358"/>
      <c r="D80" s="359" t="s">
        <v>49</v>
      </c>
      <c r="E80" s="360"/>
      <c r="F80" s="361">
        <v>4210</v>
      </c>
      <c r="G80" s="362"/>
      <c r="H80" s="383" t="s">
        <v>42</v>
      </c>
      <c r="I80" s="364"/>
      <c r="J80" s="24">
        <v>15000</v>
      </c>
    </row>
    <row r="81" spans="2:10" ht="15" customHeight="1" x14ac:dyDescent="0.25">
      <c r="B81" s="357" t="s">
        <v>49</v>
      </c>
      <c r="C81" s="358"/>
      <c r="D81" s="359" t="s">
        <v>49</v>
      </c>
      <c r="E81" s="360"/>
      <c r="F81" s="361">
        <v>4260</v>
      </c>
      <c r="G81" s="362"/>
      <c r="H81" s="383" t="s">
        <v>35</v>
      </c>
      <c r="I81" s="364"/>
      <c r="J81" s="24">
        <v>90000</v>
      </c>
    </row>
    <row r="82" spans="2:10" ht="15" customHeight="1" x14ac:dyDescent="0.25">
      <c r="B82" s="357" t="s">
        <v>49</v>
      </c>
      <c r="C82" s="358"/>
      <c r="D82" s="359" t="s">
        <v>49</v>
      </c>
      <c r="E82" s="360"/>
      <c r="F82" s="361">
        <v>4270</v>
      </c>
      <c r="G82" s="362"/>
      <c r="H82" s="383" t="s">
        <v>66</v>
      </c>
      <c r="I82" s="364"/>
      <c r="J82" s="24">
        <v>4000</v>
      </c>
    </row>
    <row r="83" spans="2:10" ht="20.25" customHeight="1" x14ac:dyDescent="0.25">
      <c r="B83" s="357" t="s">
        <v>49</v>
      </c>
      <c r="C83" s="358"/>
      <c r="D83" s="359" t="s">
        <v>49</v>
      </c>
      <c r="E83" s="360"/>
      <c r="F83" s="361" t="s">
        <v>64</v>
      </c>
      <c r="G83" s="362"/>
      <c r="H83" s="363" t="s">
        <v>35</v>
      </c>
      <c r="I83" s="364"/>
      <c r="J83" s="24">
        <v>84000</v>
      </c>
    </row>
    <row r="84" spans="2:10" ht="15" hidden="1" customHeight="1" x14ac:dyDescent="0.25">
      <c r="B84" s="357" t="s">
        <v>49</v>
      </c>
      <c r="C84" s="358"/>
      <c r="D84" s="359" t="s">
        <v>49</v>
      </c>
      <c r="E84" s="360"/>
      <c r="F84" s="361" t="s">
        <v>65</v>
      </c>
      <c r="G84" s="362"/>
      <c r="H84" s="363" t="s">
        <v>66</v>
      </c>
      <c r="I84" s="364"/>
      <c r="J84" s="24">
        <v>1300</v>
      </c>
    </row>
    <row r="85" spans="2:10" ht="15" hidden="1" customHeight="1" x14ac:dyDescent="0.25">
      <c r="B85" s="357" t="s">
        <v>49</v>
      </c>
      <c r="C85" s="358"/>
      <c r="D85" s="359" t="s">
        <v>49</v>
      </c>
      <c r="E85" s="360"/>
      <c r="F85" s="361" t="s">
        <v>67</v>
      </c>
      <c r="G85" s="362"/>
      <c r="H85" s="363" t="s">
        <v>36</v>
      </c>
      <c r="I85" s="364"/>
      <c r="J85" s="24">
        <v>900</v>
      </c>
    </row>
    <row r="86" spans="2:10" ht="15" hidden="1" customHeight="1" x14ac:dyDescent="0.25">
      <c r="B86" s="357" t="s">
        <v>49</v>
      </c>
      <c r="C86" s="358"/>
      <c r="D86" s="359" t="s">
        <v>49</v>
      </c>
      <c r="E86" s="360"/>
      <c r="F86" s="361" t="s">
        <v>68</v>
      </c>
      <c r="G86" s="362"/>
      <c r="H86" s="363" t="s">
        <v>37</v>
      </c>
      <c r="I86" s="364"/>
      <c r="J86" s="24">
        <v>15480</v>
      </c>
    </row>
    <row r="87" spans="2:10" ht="15" hidden="1" customHeight="1" x14ac:dyDescent="0.25">
      <c r="B87" s="357" t="s">
        <v>49</v>
      </c>
      <c r="C87" s="358"/>
      <c r="D87" s="359" t="s">
        <v>49</v>
      </c>
      <c r="E87" s="360"/>
      <c r="F87" s="361" t="s">
        <v>69</v>
      </c>
      <c r="G87" s="362"/>
      <c r="H87" s="363" t="s">
        <v>70</v>
      </c>
      <c r="I87" s="364"/>
      <c r="J87" s="24">
        <v>2000</v>
      </c>
    </row>
    <row r="88" spans="2:10" ht="15" hidden="1" customHeight="1" x14ac:dyDescent="0.25">
      <c r="B88" s="16"/>
      <c r="C88" s="19"/>
      <c r="D88" s="20"/>
      <c r="E88" s="21"/>
      <c r="F88" s="22"/>
      <c r="G88" s="23">
        <v>4280</v>
      </c>
      <c r="H88" s="27" t="s">
        <v>36</v>
      </c>
      <c r="I88" s="23"/>
      <c r="J88" s="24">
        <v>900</v>
      </c>
    </row>
    <row r="89" spans="2:10" ht="15" customHeight="1" x14ac:dyDescent="0.25">
      <c r="B89" s="16"/>
      <c r="C89" s="19"/>
      <c r="D89" s="20"/>
      <c r="E89" s="21"/>
      <c r="F89" s="22"/>
      <c r="G89" s="23">
        <v>4300</v>
      </c>
      <c r="H89" s="27" t="s">
        <v>37</v>
      </c>
      <c r="I89" s="23"/>
      <c r="J89" s="24">
        <v>20000</v>
      </c>
    </row>
    <row r="90" spans="2:10" ht="15" customHeight="1" x14ac:dyDescent="0.25">
      <c r="B90" s="357" t="s">
        <v>49</v>
      </c>
      <c r="C90" s="358"/>
      <c r="D90" s="359" t="s">
        <v>49</v>
      </c>
      <c r="E90" s="360"/>
      <c r="F90" s="361">
        <v>4360</v>
      </c>
      <c r="G90" s="362"/>
      <c r="H90" s="386" t="s">
        <v>70</v>
      </c>
      <c r="I90" s="387"/>
      <c r="J90" s="24">
        <v>2000</v>
      </c>
    </row>
    <row r="91" spans="2:10" ht="15" customHeight="1" x14ac:dyDescent="0.25">
      <c r="B91" s="357" t="s">
        <v>49</v>
      </c>
      <c r="C91" s="358"/>
      <c r="D91" s="359" t="s">
        <v>49</v>
      </c>
      <c r="E91" s="360"/>
      <c r="F91" s="361">
        <v>4410</v>
      </c>
      <c r="G91" s="362"/>
      <c r="H91" s="383" t="s">
        <v>71</v>
      </c>
      <c r="I91" s="364"/>
      <c r="J91" s="24">
        <v>200</v>
      </c>
    </row>
    <row r="92" spans="2:10" ht="15" customHeight="1" x14ac:dyDescent="0.25">
      <c r="B92" s="357" t="s">
        <v>49</v>
      </c>
      <c r="C92" s="358"/>
      <c r="D92" s="359" t="s">
        <v>49</v>
      </c>
      <c r="E92" s="360"/>
      <c r="F92" s="361">
        <v>4430</v>
      </c>
      <c r="G92" s="362"/>
      <c r="H92" s="383" t="s">
        <v>72</v>
      </c>
      <c r="I92" s="364"/>
      <c r="J92" s="24">
        <v>4500</v>
      </c>
    </row>
    <row r="93" spans="2:10" ht="19.5" customHeight="1" x14ac:dyDescent="0.25">
      <c r="B93" s="357" t="s">
        <v>49</v>
      </c>
      <c r="C93" s="358"/>
      <c r="D93" s="359" t="s">
        <v>49</v>
      </c>
      <c r="E93" s="360"/>
      <c r="F93" s="361">
        <v>4440</v>
      </c>
      <c r="G93" s="362"/>
      <c r="H93" s="383" t="s">
        <v>73</v>
      </c>
      <c r="I93" s="364"/>
      <c r="J93" s="24">
        <v>80000</v>
      </c>
    </row>
    <row r="94" spans="2:10" ht="21" customHeight="1" x14ac:dyDescent="0.25">
      <c r="B94" s="357" t="s">
        <v>49</v>
      </c>
      <c r="C94" s="358"/>
      <c r="D94" s="359" t="s">
        <v>49</v>
      </c>
      <c r="E94" s="360"/>
      <c r="F94" s="384">
        <v>4700</v>
      </c>
      <c r="G94" s="385"/>
      <c r="H94" s="383" t="s">
        <v>75</v>
      </c>
      <c r="I94" s="364"/>
      <c r="J94" s="24">
        <v>500</v>
      </c>
    </row>
    <row r="95" spans="2:10" ht="22.5" customHeight="1" x14ac:dyDescent="0.25">
      <c r="B95" s="357" t="s">
        <v>49</v>
      </c>
      <c r="C95" s="358"/>
      <c r="D95" s="359" t="s">
        <v>49</v>
      </c>
      <c r="E95" s="360"/>
      <c r="F95" s="361">
        <v>4710</v>
      </c>
      <c r="G95" s="362"/>
      <c r="H95" s="386" t="s">
        <v>38</v>
      </c>
      <c r="I95" s="387"/>
      <c r="J95" s="24">
        <v>5000</v>
      </c>
    </row>
    <row r="96" spans="2:10" ht="15" customHeight="1" x14ac:dyDescent="0.25">
      <c r="B96" s="357" t="s">
        <v>49</v>
      </c>
      <c r="C96" s="358"/>
      <c r="D96" s="359" t="s">
        <v>49</v>
      </c>
      <c r="E96" s="360"/>
      <c r="F96" s="361">
        <v>4790</v>
      </c>
      <c r="G96" s="362"/>
      <c r="H96" s="383" t="s">
        <v>87</v>
      </c>
      <c r="I96" s="364"/>
      <c r="J96" s="24">
        <v>875000</v>
      </c>
    </row>
    <row r="97" spans="2:10" ht="21" customHeight="1" x14ac:dyDescent="0.25">
      <c r="B97" s="16"/>
      <c r="C97" s="17"/>
      <c r="D97" s="20"/>
      <c r="E97" s="21"/>
      <c r="F97" s="28"/>
      <c r="G97" s="23">
        <v>4800</v>
      </c>
      <c r="H97" s="27" t="s">
        <v>40</v>
      </c>
      <c r="I97" s="23"/>
      <c r="J97" s="24">
        <v>46000</v>
      </c>
    </row>
    <row r="98" spans="2:10" ht="21" customHeight="1" x14ac:dyDescent="0.25">
      <c r="B98" s="357" t="s">
        <v>49</v>
      </c>
      <c r="C98" s="368"/>
      <c r="D98" s="369" t="s">
        <v>78</v>
      </c>
      <c r="E98" s="370"/>
      <c r="F98" s="369" t="s">
        <v>49</v>
      </c>
      <c r="G98" s="370"/>
      <c r="H98" s="371" t="s">
        <v>79</v>
      </c>
      <c r="I98" s="372"/>
      <c r="J98" s="18">
        <f>SUM(J99:J100)</f>
        <v>11260</v>
      </c>
    </row>
    <row r="99" spans="2:10" ht="15" customHeight="1" x14ac:dyDescent="0.25">
      <c r="B99" s="357" t="s">
        <v>49</v>
      </c>
      <c r="C99" s="358"/>
      <c r="D99" s="359" t="s">
        <v>49</v>
      </c>
      <c r="E99" s="360"/>
      <c r="F99" s="361" t="s">
        <v>68</v>
      </c>
      <c r="G99" s="362"/>
      <c r="H99" s="363" t="s">
        <v>37</v>
      </c>
      <c r="I99" s="364"/>
      <c r="J99" s="24">
        <v>1000</v>
      </c>
    </row>
    <row r="100" spans="2:10" ht="19.5" customHeight="1" x14ac:dyDescent="0.25">
      <c r="B100" s="357" t="s">
        <v>49</v>
      </c>
      <c r="C100" s="358"/>
      <c r="D100" s="359" t="s">
        <v>49</v>
      </c>
      <c r="E100" s="360"/>
      <c r="F100" s="361" t="s">
        <v>74</v>
      </c>
      <c r="G100" s="362"/>
      <c r="H100" s="363" t="s">
        <v>75</v>
      </c>
      <c r="I100" s="364"/>
      <c r="J100" s="24">
        <v>10260</v>
      </c>
    </row>
    <row r="101" spans="2:10" ht="21" customHeight="1" x14ac:dyDescent="0.25">
      <c r="B101" s="357" t="s">
        <v>49</v>
      </c>
      <c r="C101" s="368"/>
      <c r="D101" s="369" t="s">
        <v>80</v>
      </c>
      <c r="E101" s="370"/>
      <c r="F101" s="369" t="s">
        <v>49</v>
      </c>
      <c r="G101" s="370"/>
      <c r="H101" s="371" t="s">
        <v>81</v>
      </c>
      <c r="I101" s="372"/>
      <c r="J101" s="18">
        <f>SUM(J102:J107)</f>
        <v>743000</v>
      </c>
    </row>
    <row r="102" spans="2:10" ht="15" customHeight="1" x14ac:dyDescent="0.25">
      <c r="B102" s="357" t="s">
        <v>49</v>
      </c>
      <c r="C102" s="358"/>
      <c r="D102" s="359" t="s">
        <v>49</v>
      </c>
      <c r="E102" s="360"/>
      <c r="F102" s="361">
        <v>4010</v>
      </c>
      <c r="G102" s="362"/>
      <c r="H102" s="363" t="s">
        <v>55</v>
      </c>
      <c r="I102" s="364"/>
      <c r="J102" s="24">
        <v>440000</v>
      </c>
    </row>
    <row r="103" spans="2:10" ht="15" customHeight="1" x14ac:dyDescent="0.25">
      <c r="B103" s="357" t="s">
        <v>49</v>
      </c>
      <c r="C103" s="358"/>
      <c r="D103" s="359" t="s">
        <v>49</v>
      </c>
      <c r="E103" s="360"/>
      <c r="F103" s="361">
        <v>4040</v>
      </c>
      <c r="G103" s="362"/>
      <c r="H103" s="363" t="s">
        <v>40</v>
      </c>
      <c r="I103" s="364"/>
      <c r="J103" s="24">
        <v>39000</v>
      </c>
    </row>
    <row r="104" spans="2:10" ht="15" customHeight="1" x14ac:dyDescent="0.25">
      <c r="B104" s="357" t="s">
        <v>49</v>
      </c>
      <c r="C104" s="358"/>
      <c r="D104" s="359" t="s">
        <v>49</v>
      </c>
      <c r="E104" s="360"/>
      <c r="F104" s="361">
        <v>4110</v>
      </c>
      <c r="G104" s="362"/>
      <c r="H104" s="363" t="s">
        <v>58</v>
      </c>
      <c r="I104" s="364"/>
      <c r="J104" s="24">
        <v>91000</v>
      </c>
    </row>
    <row r="105" spans="2:10" ht="27.75" customHeight="1" x14ac:dyDescent="0.25">
      <c r="B105" s="357" t="s">
        <v>49</v>
      </c>
      <c r="C105" s="358"/>
      <c r="D105" s="359" t="s">
        <v>49</v>
      </c>
      <c r="E105" s="360"/>
      <c r="F105" s="361">
        <v>4120</v>
      </c>
      <c r="G105" s="362"/>
      <c r="H105" s="363" t="s">
        <v>60</v>
      </c>
      <c r="I105" s="364"/>
      <c r="J105" s="24">
        <v>9000</v>
      </c>
    </row>
    <row r="106" spans="2:10" ht="23.25" customHeight="1" x14ac:dyDescent="0.25">
      <c r="B106" s="357" t="s">
        <v>49</v>
      </c>
      <c r="C106" s="358"/>
      <c r="D106" s="359" t="s">
        <v>49</v>
      </c>
      <c r="E106" s="360"/>
      <c r="F106" s="361">
        <v>4210</v>
      </c>
      <c r="G106" s="362"/>
      <c r="H106" s="363" t="s">
        <v>42</v>
      </c>
      <c r="I106" s="364"/>
      <c r="J106" s="24">
        <v>4000</v>
      </c>
    </row>
    <row r="107" spans="2:10" ht="21.75" customHeight="1" x14ac:dyDescent="0.25">
      <c r="B107" s="357" t="s">
        <v>49</v>
      </c>
      <c r="C107" s="358"/>
      <c r="D107" s="359" t="s">
        <v>49</v>
      </c>
      <c r="E107" s="360"/>
      <c r="F107" s="361">
        <v>4220</v>
      </c>
      <c r="G107" s="362"/>
      <c r="H107" s="363" t="s">
        <v>41</v>
      </c>
      <c r="I107" s="364"/>
      <c r="J107" s="24">
        <v>160000</v>
      </c>
    </row>
    <row r="108" spans="2:10" ht="22.5" customHeight="1" x14ac:dyDescent="0.25">
      <c r="B108" s="16"/>
      <c r="C108" s="17"/>
      <c r="D108" s="20"/>
      <c r="E108" s="21"/>
      <c r="F108" s="28"/>
      <c r="G108" s="29">
        <v>4440</v>
      </c>
      <c r="H108" s="30" t="s">
        <v>73</v>
      </c>
      <c r="I108" s="23"/>
      <c r="J108" s="24">
        <v>24400</v>
      </c>
    </row>
    <row r="109" spans="2:10" ht="73.5" customHeight="1" x14ac:dyDescent="0.25">
      <c r="B109" s="357" t="s">
        <v>49</v>
      </c>
      <c r="C109" s="368"/>
      <c r="D109" s="369" t="s">
        <v>82</v>
      </c>
      <c r="E109" s="370"/>
      <c r="F109" s="369" t="s">
        <v>49</v>
      </c>
      <c r="G109" s="370"/>
      <c r="H109" s="371" t="s">
        <v>83</v>
      </c>
      <c r="I109" s="372"/>
      <c r="J109" s="18">
        <f>SUM(J110:J118)</f>
        <v>98300</v>
      </c>
    </row>
    <row r="110" spans="2:10" ht="21" customHeight="1" x14ac:dyDescent="0.25">
      <c r="B110" s="357" t="s">
        <v>49</v>
      </c>
      <c r="C110" s="358"/>
      <c r="D110" s="359" t="s">
        <v>49</v>
      </c>
      <c r="E110" s="360"/>
      <c r="F110" s="361" t="s">
        <v>54</v>
      </c>
      <c r="G110" s="362"/>
      <c r="H110" s="363" t="s">
        <v>55</v>
      </c>
      <c r="I110" s="364"/>
      <c r="J110" s="24">
        <v>36000</v>
      </c>
    </row>
    <row r="111" spans="2:10" ht="21" customHeight="1" x14ac:dyDescent="0.25">
      <c r="B111" s="357" t="s">
        <v>49</v>
      </c>
      <c r="C111" s="358"/>
      <c r="D111" s="359" t="s">
        <v>49</v>
      </c>
      <c r="E111" s="360"/>
      <c r="F111" s="361" t="s">
        <v>56</v>
      </c>
      <c r="G111" s="362"/>
      <c r="H111" s="363" t="s">
        <v>40</v>
      </c>
      <c r="I111" s="364"/>
      <c r="J111" s="24">
        <v>3600</v>
      </c>
    </row>
    <row r="112" spans="2:10" ht="15" customHeight="1" x14ac:dyDescent="0.25">
      <c r="B112" s="357" t="s">
        <v>49</v>
      </c>
      <c r="C112" s="358"/>
      <c r="D112" s="359" t="s">
        <v>49</v>
      </c>
      <c r="E112" s="360"/>
      <c r="F112" s="361" t="s">
        <v>57</v>
      </c>
      <c r="G112" s="362"/>
      <c r="H112" s="363" t="s">
        <v>58</v>
      </c>
      <c r="I112" s="364"/>
      <c r="J112" s="24">
        <v>11000</v>
      </c>
    </row>
    <row r="113" spans="2:13" ht="22.5" customHeight="1" x14ac:dyDescent="0.25">
      <c r="B113" s="357" t="s">
        <v>49</v>
      </c>
      <c r="C113" s="358"/>
      <c r="D113" s="359" t="s">
        <v>49</v>
      </c>
      <c r="E113" s="360"/>
      <c r="F113" s="361" t="s">
        <v>59</v>
      </c>
      <c r="G113" s="362"/>
      <c r="H113" s="363" t="s">
        <v>60</v>
      </c>
      <c r="I113" s="364"/>
      <c r="J113" s="24">
        <v>1700</v>
      </c>
    </row>
    <row r="114" spans="2:13" ht="18.75" customHeight="1" x14ac:dyDescent="0.25">
      <c r="B114" s="357" t="s">
        <v>49</v>
      </c>
      <c r="C114" s="358"/>
      <c r="D114" s="359" t="s">
        <v>49</v>
      </c>
      <c r="E114" s="360"/>
      <c r="F114" s="361" t="s">
        <v>61</v>
      </c>
      <c r="G114" s="362"/>
      <c r="H114" s="363" t="s">
        <v>42</v>
      </c>
      <c r="I114" s="364"/>
      <c r="J114" s="24">
        <v>500</v>
      </c>
    </row>
    <row r="115" spans="2:13" ht="19.5" customHeight="1" x14ac:dyDescent="0.25">
      <c r="B115" s="357" t="s">
        <v>49</v>
      </c>
      <c r="C115" s="358"/>
      <c r="D115" s="359" t="s">
        <v>49</v>
      </c>
      <c r="E115" s="360"/>
      <c r="F115" s="361" t="s">
        <v>62</v>
      </c>
      <c r="G115" s="362"/>
      <c r="H115" s="363" t="s">
        <v>63</v>
      </c>
      <c r="I115" s="364"/>
      <c r="J115" s="24">
        <v>2000</v>
      </c>
    </row>
    <row r="116" spans="2:13" ht="15" customHeight="1" x14ac:dyDescent="0.25">
      <c r="B116" s="357" t="s">
        <v>49</v>
      </c>
      <c r="C116" s="358"/>
      <c r="D116" s="359" t="s">
        <v>49</v>
      </c>
      <c r="E116" s="360"/>
      <c r="F116" s="361" t="s">
        <v>68</v>
      </c>
      <c r="G116" s="362"/>
      <c r="H116" s="363" t="s">
        <v>37</v>
      </c>
      <c r="I116" s="364"/>
      <c r="J116" s="24">
        <v>17000</v>
      </c>
    </row>
    <row r="117" spans="2:13" ht="21" customHeight="1" x14ac:dyDescent="0.25">
      <c r="B117" s="357" t="s">
        <v>49</v>
      </c>
      <c r="C117" s="358"/>
      <c r="D117" s="359" t="s">
        <v>49</v>
      </c>
      <c r="E117" s="360"/>
      <c r="F117" s="361" t="s">
        <v>76</v>
      </c>
      <c r="G117" s="362"/>
      <c r="H117" s="363" t="s">
        <v>38</v>
      </c>
      <c r="I117" s="364"/>
      <c r="J117" s="24">
        <v>500</v>
      </c>
    </row>
    <row r="118" spans="2:13" ht="20.25" customHeight="1" x14ac:dyDescent="0.25">
      <c r="B118" s="357" t="s">
        <v>49</v>
      </c>
      <c r="C118" s="358"/>
      <c r="D118" s="359" t="s">
        <v>49</v>
      </c>
      <c r="E118" s="360"/>
      <c r="F118" s="361" t="s">
        <v>77</v>
      </c>
      <c r="G118" s="362"/>
      <c r="H118" s="363" t="s">
        <v>39</v>
      </c>
      <c r="I118" s="364"/>
      <c r="J118" s="24">
        <v>26000</v>
      </c>
    </row>
    <row r="119" spans="2:13" ht="30.75" customHeight="1" x14ac:dyDescent="0.25">
      <c r="B119" s="365" t="s">
        <v>84</v>
      </c>
      <c r="C119" s="366"/>
      <c r="D119" s="366"/>
      <c r="E119" s="366"/>
      <c r="F119" s="366"/>
      <c r="G119" s="366"/>
      <c r="H119" s="366"/>
      <c r="I119" s="367"/>
      <c r="J119" s="24">
        <f>SUM(J109+J101+J98+J74)</f>
        <v>2750940</v>
      </c>
    </row>
    <row r="120" spans="2:13" ht="15" customHeight="1" x14ac:dyDescent="0.25"/>
    <row r="121" spans="2:13" x14ac:dyDescent="0.25">
      <c r="B121" t="s">
        <v>120</v>
      </c>
    </row>
    <row r="125" spans="2:13" x14ac:dyDescent="0.25">
      <c r="B125" s="381" t="s">
        <v>43</v>
      </c>
      <c r="C125" s="382"/>
      <c r="D125" s="381" t="s">
        <v>44</v>
      </c>
      <c r="E125" s="382"/>
      <c r="F125" s="381" t="s">
        <v>45</v>
      </c>
      <c r="G125" s="382"/>
      <c r="H125" s="381" t="s">
        <v>46</v>
      </c>
      <c r="I125" s="382"/>
      <c r="J125" s="14" t="s">
        <v>47</v>
      </c>
    </row>
    <row r="126" spans="2:13" x14ac:dyDescent="0.25">
      <c r="B126" s="375" t="s">
        <v>48</v>
      </c>
      <c r="C126" s="376"/>
      <c r="D126" s="377" t="s">
        <v>49</v>
      </c>
      <c r="E126" s="378"/>
      <c r="F126" s="377" t="s">
        <v>49</v>
      </c>
      <c r="G126" s="378"/>
      <c r="H126" s="379" t="s">
        <v>50</v>
      </c>
      <c r="I126" s="380"/>
      <c r="J126" s="15">
        <f>J181</f>
        <v>6774925.2500000009</v>
      </c>
      <c r="K126" s="356" t="s">
        <v>49</v>
      </c>
      <c r="L126" s="356"/>
      <c r="M126" s="356"/>
    </row>
    <row r="127" spans="2:13" ht="19.5" customHeight="1" x14ac:dyDescent="0.25">
      <c r="B127" s="357" t="s">
        <v>49</v>
      </c>
      <c r="C127" s="368"/>
      <c r="D127" s="369" t="s">
        <v>88</v>
      </c>
      <c r="E127" s="370"/>
      <c r="F127" s="369" t="s">
        <v>49</v>
      </c>
      <c r="G127" s="370"/>
      <c r="H127" s="371" t="s">
        <v>89</v>
      </c>
      <c r="I127" s="372"/>
      <c r="J127" s="18">
        <f>SUM(J128:J150)</f>
        <v>5138686.2300000004</v>
      </c>
    </row>
    <row r="128" spans="2:13" ht="23.25" customHeight="1" x14ac:dyDescent="0.25">
      <c r="B128" s="357" t="s">
        <v>49</v>
      </c>
      <c r="C128" s="358"/>
      <c r="D128" s="359" t="s">
        <v>49</v>
      </c>
      <c r="E128" s="360"/>
      <c r="F128" s="361" t="s">
        <v>90</v>
      </c>
      <c r="G128" s="362"/>
      <c r="H128" s="363" t="s">
        <v>53</v>
      </c>
      <c r="I128" s="364"/>
      <c r="J128" s="24">
        <v>1198350</v>
      </c>
      <c r="K128" s="356" t="s">
        <v>49</v>
      </c>
      <c r="L128" s="356"/>
      <c r="M128" s="356"/>
    </row>
    <row r="129" spans="2:13" ht="23.25" customHeight="1" x14ac:dyDescent="0.25">
      <c r="B129" s="357" t="s">
        <v>49</v>
      </c>
      <c r="C129" s="358"/>
      <c r="D129" s="359" t="s">
        <v>49</v>
      </c>
      <c r="E129" s="360"/>
      <c r="F129" s="361" t="s">
        <v>54</v>
      </c>
      <c r="G129" s="362"/>
      <c r="H129" s="363" t="s">
        <v>55</v>
      </c>
      <c r="I129" s="364"/>
      <c r="J129" s="24">
        <v>550107</v>
      </c>
      <c r="K129" s="356" t="s">
        <v>49</v>
      </c>
      <c r="L129" s="356"/>
      <c r="M129" s="356"/>
    </row>
    <row r="130" spans="2:13" ht="24" customHeight="1" x14ac:dyDescent="0.25">
      <c r="B130" s="357" t="s">
        <v>49</v>
      </c>
      <c r="C130" s="358"/>
      <c r="D130" s="359" t="s">
        <v>49</v>
      </c>
      <c r="E130" s="360"/>
      <c r="F130" s="361" t="s">
        <v>56</v>
      </c>
      <c r="G130" s="362"/>
      <c r="H130" s="363" t="s">
        <v>40</v>
      </c>
      <c r="I130" s="364"/>
      <c r="J130" s="24">
        <v>40000</v>
      </c>
      <c r="K130" s="356" t="s">
        <v>49</v>
      </c>
      <c r="L130" s="356"/>
      <c r="M130" s="356"/>
    </row>
    <row r="131" spans="2:13" x14ac:dyDescent="0.25">
      <c r="B131" s="357" t="s">
        <v>49</v>
      </c>
      <c r="C131" s="358"/>
      <c r="D131" s="359" t="s">
        <v>49</v>
      </c>
      <c r="E131" s="360"/>
      <c r="F131" s="361" t="s">
        <v>57</v>
      </c>
      <c r="G131" s="362"/>
      <c r="H131" s="363" t="s">
        <v>58</v>
      </c>
      <c r="I131" s="364"/>
      <c r="J131" s="24">
        <v>626</v>
      </c>
      <c r="K131" s="356" t="s">
        <v>49</v>
      </c>
      <c r="L131" s="356"/>
      <c r="M131" s="356"/>
    </row>
    <row r="132" spans="2:13" ht="17.25" customHeight="1" x14ac:dyDescent="0.25">
      <c r="B132" s="357" t="s">
        <v>49</v>
      </c>
      <c r="C132" s="358"/>
      <c r="D132" s="359" t="s">
        <v>49</v>
      </c>
      <c r="E132" s="360"/>
      <c r="F132" s="361" t="s">
        <v>59</v>
      </c>
      <c r="G132" s="362"/>
      <c r="H132" s="363" t="s">
        <v>60</v>
      </c>
      <c r="I132" s="364"/>
      <c r="J132" s="24">
        <v>57000</v>
      </c>
      <c r="K132" s="356" t="s">
        <v>49</v>
      </c>
      <c r="L132" s="356"/>
      <c r="M132" s="356"/>
    </row>
    <row r="133" spans="2:13" ht="24" customHeight="1" x14ac:dyDescent="0.25">
      <c r="B133" s="357" t="s">
        <v>49</v>
      </c>
      <c r="C133" s="358"/>
      <c r="D133" s="359" t="s">
        <v>49</v>
      </c>
      <c r="E133" s="360"/>
      <c r="F133" s="361" t="s">
        <v>91</v>
      </c>
      <c r="G133" s="362"/>
      <c r="H133" s="363" t="s">
        <v>92</v>
      </c>
      <c r="I133" s="364"/>
      <c r="J133" s="24">
        <v>0</v>
      </c>
      <c r="K133" s="356" t="s">
        <v>49</v>
      </c>
      <c r="L133" s="356"/>
      <c r="M133" s="356"/>
    </row>
    <row r="134" spans="2:13" ht="23.25" customHeight="1" x14ac:dyDescent="0.25">
      <c r="B134" s="357" t="s">
        <v>49</v>
      </c>
      <c r="C134" s="358"/>
      <c r="D134" s="359" t="s">
        <v>49</v>
      </c>
      <c r="E134" s="360"/>
      <c r="F134" s="361" t="s">
        <v>61</v>
      </c>
      <c r="G134" s="362"/>
      <c r="H134" s="363" t="s">
        <v>42</v>
      </c>
      <c r="I134" s="364"/>
      <c r="J134" s="24">
        <v>37145</v>
      </c>
      <c r="K134" s="356" t="s">
        <v>49</v>
      </c>
      <c r="L134" s="356"/>
      <c r="M134" s="356"/>
    </row>
    <row r="135" spans="2:13" x14ac:dyDescent="0.25">
      <c r="B135" s="357" t="s">
        <v>49</v>
      </c>
      <c r="C135" s="358"/>
      <c r="D135" s="359" t="s">
        <v>49</v>
      </c>
      <c r="E135" s="360"/>
      <c r="F135" s="361" t="s">
        <v>64</v>
      </c>
      <c r="G135" s="362"/>
      <c r="H135" s="363" t="s">
        <v>35</v>
      </c>
      <c r="I135" s="364"/>
      <c r="J135" s="24">
        <v>180000</v>
      </c>
      <c r="K135" s="356" t="s">
        <v>49</v>
      </c>
      <c r="L135" s="356"/>
      <c r="M135" s="356"/>
    </row>
    <row r="136" spans="2:13" x14ac:dyDescent="0.25">
      <c r="B136" s="357" t="s">
        <v>49</v>
      </c>
      <c r="C136" s="358"/>
      <c r="D136" s="359" t="s">
        <v>49</v>
      </c>
      <c r="E136" s="360"/>
      <c r="F136" s="361" t="s">
        <v>65</v>
      </c>
      <c r="G136" s="362"/>
      <c r="H136" s="363" t="s">
        <v>66</v>
      </c>
      <c r="I136" s="364"/>
      <c r="J136" s="24">
        <v>3000</v>
      </c>
      <c r="K136" s="356" t="s">
        <v>49</v>
      </c>
      <c r="L136" s="356"/>
      <c r="M136" s="356"/>
    </row>
    <row r="137" spans="2:13" x14ac:dyDescent="0.25">
      <c r="B137" s="357" t="s">
        <v>49</v>
      </c>
      <c r="C137" s="358"/>
      <c r="D137" s="359" t="s">
        <v>49</v>
      </c>
      <c r="E137" s="360"/>
      <c r="F137" s="361" t="s">
        <v>67</v>
      </c>
      <c r="G137" s="362"/>
      <c r="H137" s="363" t="s">
        <v>36</v>
      </c>
      <c r="I137" s="364"/>
      <c r="J137" s="24">
        <v>2300</v>
      </c>
      <c r="K137" s="356" t="s">
        <v>49</v>
      </c>
      <c r="L137" s="356"/>
      <c r="M137" s="356"/>
    </row>
    <row r="138" spans="2:13" x14ac:dyDescent="0.25">
      <c r="B138" s="357" t="s">
        <v>49</v>
      </c>
      <c r="C138" s="358"/>
      <c r="D138" s="359" t="s">
        <v>49</v>
      </c>
      <c r="E138" s="360"/>
      <c r="F138" s="361" t="s">
        <v>68</v>
      </c>
      <c r="G138" s="362"/>
      <c r="H138" s="363" t="s">
        <v>37</v>
      </c>
      <c r="I138" s="364"/>
      <c r="J138" s="24">
        <v>62000</v>
      </c>
      <c r="K138" s="356" t="s">
        <v>49</v>
      </c>
      <c r="L138" s="356"/>
      <c r="M138" s="356"/>
    </row>
    <row r="139" spans="2:13" x14ac:dyDescent="0.25">
      <c r="B139" s="357" t="s">
        <v>49</v>
      </c>
      <c r="C139" s="358"/>
      <c r="D139" s="359" t="s">
        <v>49</v>
      </c>
      <c r="E139" s="360"/>
      <c r="F139" s="361" t="s">
        <v>93</v>
      </c>
      <c r="G139" s="362"/>
      <c r="H139" s="363" t="s">
        <v>94</v>
      </c>
      <c r="I139" s="364"/>
      <c r="J139" s="24">
        <v>8016</v>
      </c>
      <c r="K139" s="356" t="s">
        <v>49</v>
      </c>
      <c r="L139" s="356"/>
      <c r="M139" s="356"/>
    </row>
    <row r="140" spans="2:13" ht="36.75" customHeight="1" x14ac:dyDescent="0.25">
      <c r="B140" s="357" t="s">
        <v>49</v>
      </c>
      <c r="C140" s="358"/>
      <c r="D140" s="359" t="s">
        <v>49</v>
      </c>
      <c r="E140" s="360"/>
      <c r="F140" s="361" t="s">
        <v>69</v>
      </c>
      <c r="G140" s="362"/>
      <c r="H140" s="363" t="s">
        <v>70</v>
      </c>
      <c r="I140" s="364"/>
      <c r="J140" s="24">
        <v>2000</v>
      </c>
      <c r="K140" s="356" t="s">
        <v>49</v>
      </c>
      <c r="L140" s="356"/>
      <c r="M140" s="356"/>
    </row>
    <row r="141" spans="2:13" ht="29.25" customHeight="1" x14ac:dyDescent="0.25">
      <c r="B141" s="357" t="s">
        <v>49</v>
      </c>
      <c r="C141" s="358"/>
      <c r="D141" s="359" t="s">
        <v>49</v>
      </c>
      <c r="E141" s="360"/>
      <c r="F141" s="361" t="s">
        <v>95</v>
      </c>
      <c r="G141" s="362"/>
      <c r="H141" s="363" t="s">
        <v>71</v>
      </c>
      <c r="I141" s="364"/>
      <c r="J141" s="24">
        <v>200</v>
      </c>
      <c r="K141" s="356" t="s">
        <v>49</v>
      </c>
      <c r="L141" s="356"/>
      <c r="M141" s="356"/>
    </row>
    <row r="142" spans="2:13" ht="22.5" customHeight="1" x14ac:dyDescent="0.25">
      <c r="B142" s="357" t="s">
        <v>49</v>
      </c>
      <c r="C142" s="358"/>
      <c r="D142" s="359" t="s">
        <v>49</v>
      </c>
      <c r="E142" s="360"/>
      <c r="F142" s="361" t="s">
        <v>96</v>
      </c>
      <c r="G142" s="362"/>
      <c r="H142" s="363" t="s">
        <v>72</v>
      </c>
      <c r="I142" s="364"/>
      <c r="J142" s="24">
        <v>4000</v>
      </c>
      <c r="K142" s="356" t="s">
        <v>49</v>
      </c>
      <c r="L142" s="356"/>
      <c r="M142" s="356"/>
    </row>
    <row r="143" spans="2:13" x14ac:dyDescent="0.25">
      <c r="B143" s="357" t="s">
        <v>49</v>
      </c>
      <c r="C143" s="358"/>
      <c r="D143" s="359" t="s">
        <v>49</v>
      </c>
      <c r="E143" s="360"/>
      <c r="F143" s="361" t="s">
        <v>97</v>
      </c>
      <c r="G143" s="362"/>
      <c r="H143" s="363" t="s">
        <v>73</v>
      </c>
      <c r="I143" s="364"/>
      <c r="J143" s="24">
        <v>260000</v>
      </c>
      <c r="K143" s="356" t="s">
        <v>49</v>
      </c>
      <c r="L143" s="356"/>
      <c r="M143" s="356"/>
    </row>
    <row r="144" spans="2:13" ht="25.5" customHeight="1" x14ac:dyDescent="0.25">
      <c r="B144" s="357" t="s">
        <v>49</v>
      </c>
      <c r="C144" s="358"/>
      <c r="D144" s="359" t="s">
        <v>49</v>
      </c>
      <c r="E144" s="360"/>
      <c r="F144" s="361" t="s">
        <v>74</v>
      </c>
      <c r="G144" s="362"/>
      <c r="H144" s="363" t="s">
        <v>75</v>
      </c>
      <c r="I144" s="364"/>
      <c r="J144" s="24">
        <v>780</v>
      </c>
      <c r="K144" s="356" t="s">
        <v>49</v>
      </c>
      <c r="L144" s="356"/>
      <c r="M144" s="356"/>
    </row>
    <row r="145" spans="2:13" ht="23.25" customHeight="1" x14ac:dyDescent="0.25">
      <c r="B145" s="357" t="s">
        <v>49</v>
      </c>
      <c r="C145" s="358"/>
      <c r="D145" s="359" t="s">
        <v>49</v>
      </c>
      <c r="E145" s="360"/>
      <c r="F145" s="361" t="s">
        <v>76</v>
      </c>
      <c r="G145" s="362"/>
      <c r="H145" s="363" t="s">
        <v>38</v>
      </c>
      <c r="I145" s="364"/>
      <c r="J145" s="24">
        <v>6900</v>
      </c>
      <c r="K145" s="356" t="s">
        <v>49</v>
      </c>
      <c r="L145" s="356"/>
      <c r="M145" s="356"/>
    </row>
    <row r="146" spans="2:13" ht="30" customHeight="1" x14ac:dyDescent="0.25">
      <c r="B146" s="357" t="s">
        <v>49</v>
      </c>
      <c r="C146" s="358"/>
      <c r="D146" s="359" t="s">
        <v>49</v>
      </c>
      <c r="E146" s="360"/>
      <c r="F146" s="361" t="s">
        <v>98</v>
      </c>
      <c r="G146" s="362"/>
      <c r="H146" s="363" t="s">
        <v>99</v>
      </c>
      <c r="I146" s="364"/>
      <c r="J146" s="24">
        <v>17430</v>
      </c>
      <c r="K146" s="356" t="s">
        <v>49</v>
      </c>
      <c r="L146" s="356"/>
      <c r="M146" s="356"/>
    </row>
    <row r="147" spans="2:13" ht="26.25" customHeight="1" x14ac:dyDescent="0.25">
      <c r="B147" s="357" t="s">
        <v>49</v>
      </c>
      <c r="C147" s="358"/>
      <c r="D147" s="359" t="s">
        <v>49</v>
      </c>
      <c r="E147" s="360"/>
      <c r="F147" s="361" t="s">
        <v>77</v>
      </c>
      <c r="G147" s="362"/>
      <c r="H147" s="363" t="s">
        <v>39</v>
      </c>
      <c r="I147" s="364"/>
      <c r="J147" s="24">
        <v>2502385.23</v>
      </c>
      <c r="K147" s="356" t="s">
        <v>49</v>
      </c>
      <c r="L147" s="356"/>
      <c r="M147" s="356"/>
    </row>
    <row r="148" spans="2:13" ht="20.25" customHeight="1" x14ac:dyDescent="0.25">
      <c r="B148" s="357" t="s">
        <v>49</v>
      </c>
      <c r="C148" s="358"/>
      <c r="D148" s="359" t="s">
        <v>49</v>
      </c>
      <c r="E148" s="360"/>
      <c r="F148" s="361" t="s">
        <v>100</v>
      </c>
      <c r="G148" s="362"/>
      <c r="H148" s="363" t="s">
        <v>101</v>
      </c>
      <c r="I148" s="364"/>
      <c r="J148" s="24">
        <v>181349</v>
      </c>
      <c r="K148" s="356" t="s">
        <v>49</v>
      </c>
      <c r="L148" s="356"/>
      <c r="M148" s="356"/>
    </row>
    <row r="149" spans="2:13" ht="28.5" customHeight="1" x14ac:dyDescent="0.25">
      <c r="B149" s="357" t="s">
        <v>49</v>
      </c>
      <c r="C149" s="358"/>
      <c r="D149" s="359" t="s">
        <v>49</v>
      </c>
      <c r="E149" s="360"/>
      <c r="F149" s="361" t="s">
        <v>102</v>
      </c>
      <c r="G149" s="362"/>
      <c r="H149" s="363" t="s">
        <v>103</v>
      </c>
      <c r="I149" s="364"/>
      <c r="J149" s="24">
        <v>4292</v>
      </c>
      <c r="K149" s="356" t="s">
        <v>49</v>
      </c>
      <c r="L149" s="356"/>
      <c r="M149" s="356"/>
    </row>
    <row r="150" spans="2:13" ht="23.25" customHeight="1" x14ac:dyDescent="0.25">
      <c r="B150" s="357" t="s">
        <v>49</v>
      </c>
      <c r="C150" s="358"/>
      <c r="D150" s="359" t="s">
        <v>49</v>
      </c>
      <c r="E150" s="360"/>
      <c r="F150" s="361" t="s">
        <v>104</v>
      </c>
      <c r="G150" s="362"/>
      <c r="H150" s="373" t="s">
        <v>105</v>
      </c>
      <c r="I150" s="374"/>
      <c r="J150" s="24">
        <v>20806</v>
      </c>
      <c r="K150" s="356" t="s">
        <v>49</v>
      </c>
      <c r="L150" s="356"/>
      <c r="M150" s="356"/>
    </row>
    <row r="151" spans="2:13" ht="24.75" customHeight="1" x14ac:dyDescent="0.25">
      <c r="B151" s="357" t="s">
        <v>49</v>
      </c>
      <c r="C151" s="368"/>
      <c r="D151" s="369" t="s">
        <v>106</v>
      </c>
      <c r="E151" s="370"/>
      <c r="F151" s="369" t="s">
        <v>49</v>
      </c>
      <c r="G151" s="370"/>
      <c r="H151" s="371" t="s">
        <v>107</v>
      </c>
      <c r="I151" s="372"/>
      <c r="J151" s="18">
        <f>SUM(J152:J157)</f>
        <v>332825</v>
      </c>
      <c r="K151" s="356" t="s">
        <v>49</v>
      </c>
      <c r="L151" s="356"/>
      <c r="M151" s="356"/>
    </row>
    <row r="152" spans="2:13" ht="22.5" customHeight="1" x14ac:dyDescent="0.25">
      <c r="B152" s="357" t="s">
        <v>49</v>
      </c>
      <c r="C152" s="358"/>
      <c r="D152" s="359" t="s">
        <v>49</v>
      </c>
      <c r="E152" s="360"/>
      <c r="F152" s="361" t="s">
        <v>90</v>
      </c>
      <c r="G152" s="362"/>
      <c r="H152" s="363" t="s">
        <v>53</v>
      </c>
      <c r="I152" s="364"/>
      <c r="J152" s="24">
        <v>16100</v>
      </c>
      <c r="K152" s="356" t="s">
        <v>49</v>
      </c>
      <c r="L152" s="356"/>
      <c r="M152" s="356"/>
    </row>
    <row r="153" spans="2:13" ht="22.5" customHeight="1" x14ac:dyDescent="0.25">
      <c r="B153" s="357" t="s">
        <v>49</v>
      </c>
      <c r="C153" s="358"/>
      <c r="D153" s="359" t="s">
        <v>49</v>
      </c>
      <c r="E153" s="360"/>
      <c r="F153" s="361" t="s">
        <v>57</v>
      </c>
      <c r="G153" s="362"/>
      <c r="H153" s="363" t="s">
        <v>58</v>
      </c>
      <c r="I153" s="364"/>
      <c r="J153" s="24">
        <v>46000</v>
      </c>
      <c r="K153" s="356" t="s">
        <v>49</v>
      </c>
      <c r="L153" s="356"/>
      <c r="M153" s="356"/>
    </row>
    <row r="154" spans="2:13" ht="28.5" customHeight="1" x14ac:dyDescent="0.25">
      <c r="B154" s="357" t="s">
        <v>49</v>
      </c>
      <c r="C154" s="358"/>
      <c r="D154" s="359" t="s">
        <v>49</v>
      </c>
      <c r="E154" s="360"/>
      <c r="F154" s="361" t="s">
        <v>59</v>
      </c>
      <c r="G154" s="362"/>
      <c r="H154" s="363" t="s">
        <v>60</v>
      </c>
      <c r="I154" s="364"/>
      <c r="J154" s="24">
        <v>6500</v>
      </c>
      <c r="K154" s="356" t="s">
        <v>49</v>
      </c>
      <c r="L154" s="356"/>
      <c r="M154" s="356"/>
    </row>
    <row r="155" spans="2:13" ht="27" customHeight="1" x14ac:dyDescent="0.25">
      <c r="B155" s="357" t="s">
        <v>49</v>
      </c>
      <c r="C155" s="358"/>
      <c r="D155" s="359" t="s">
        <v>49</v>
      </c>
      <c r="E155" s="360"/>
      <c r="F155" s="361" t="s">
        <v>97</v>
      </c>
      <c r="G155" s="362"/>
      <c r="H155" s="363" t="s">
        <v>73</v>
      </c>
      <c r="I155" s="364"/>
      <c r="J155" s="24">
        <v>12000</v>
      </c>
      <c r="K155" s="356" t="s">
        <v>49</v>
      </c>
      <c r="L155" s="356"/>
      <c r="M155" s="356"/>
    </row>
    <row r="156" spans="2:13" ht="27.75" customHeight="1" x14ac:dyDescent="0.25">
      <c r="B156" s="357" t="s">
        <v>49</v>
      </c>
      <c r="C156" s="358"/>
      <c r="D156" s="359" t="s">
        <v>49</v>
      </c>
      <c r="E156" s="360"/>
      <c r="F156" s="361" t="s">
        <v>77</v>
      </c>
      <c r="G156" s="362"/>
      <c r="H156" s="363" t="s">
        <v>39</v>
      </c>
      <c r="I156" s="364"/>
      <c r="J156" s="24">
        <v>233225</v>
      </c>
      <c r="K156" s="356" t="s">
        <v>49</v>
      </c>
      <c r="L156" s="356"/>
      <c r="M156" s="356"/>
    </row>
    <row r="157" spans="2:13" ht="24" customHeight="1" x14ac:dyDescent="0.25">
      <c r="B157" s="357" t="s">
        <v>49</v>
      </c>
      <c r="C157" s="358"/>
      <c r="D157" s="359" t="s">
        <v>49</v>
      </c>
      <c r="E157" s="360"/>
      <c r="F157" s="361" t="s">
        <v>100</v>
      </c>
      <c r="G157" s="362"/>
      <c r="H157" s="363" t="s">
        <v>101</v>
      </c>
      <c r="I157" s="364"/>
      <c r="J157" s="24">
        <v>19000</v>
      </c>
      <c r="K157" s="356" t="s">
        <v>49</v>
      </c>
      <c r="L157" s="356"/>
      <c r="M157" s="356"/>
    </row>
    <row r="158" spans="2:13" ht="23.25" customHeight="1" x14ac:dyDescent="0.25">
      <c r="B158" s="357" t="s">
        <v>49</v>
      </c>
      <c r="C158" s="368"/>
      <c r="D158" s="369" t="s">
        <v>78</v>
      </c>
      <c r="E158" s="370"/>
      <c r="F158" s="369" t="s">
        <v>49</v>
      </c>
      <c r="G158" s="370"/>
      <c r="H158" s="371" t="s">
        <v>79</v>
      </c>
      <c r="I158" s="372"/>
      <c r="J158" s="18">
        <v>15168.09</v>
      </c>
      <c r="K158" s="356" t="s">
        <v>49</v>
      </c>
      <c r="L158" s="356"/>
      <c r="M158" s="356"/>
    </row>
    <row r="159" spans="2:13" ht="18" customHeight="1" x14ac:dyDescent="0.25">
      <c r="B159" s="357" t="s">
        <v>49</v>
      </c>
      <c r="C159" s="358"/>
      <c r="D159" s="359" t="s">
        <v>49</v>
      </c>
      <c r="E159" s="360"/>
      <c r="F159" s="361" t="s">
        <v>68</v>
      </c>
      <c r="G159" s="362"/>
      <c r="H159" s="363" t="s">
        <v>37</v>
      </c>
      <c r="I159" s="364"/>
      <c r="J159" s="24">
        <v>1000</v>
      </c>
      <c r="K159" s="356" t="s">
        <v>49</v>
      </c>
      <c r="L159" s="356"/>
      <c r="M159" s="356"/>
    </row>
    <row r="160" spans="2:13" x14ac:dyDescent="0.25">
      <c r="B160" s="357" t="s">
        <v>49</v>
      </c>
      <c r="C160" s="358"/>
      <c r="D160" s="359" t="s">
        <v>49</v>
      </c>
      <c r="E160" s="360"/>
      <c r="F160" s="361" t="s">
        <v>74</v>
      </c>
      <c r="G160" s="362"/>
      <c r="H160" s="363" t="s">
        <v>75</v>
      </c>
      <c r="I160" s="364"/>
      <c r="J160" s="24">
        <v>14168.09</v>
      </c>
      <c r="K160" s="356" t="s">
        <v>49</v>
      </c>
      <c r="L160" s="356"/>
      <c r="M160" s="356"/>
    </row>
    <row r="161" spans="2:13" ht="30" customHeight="1" x14ac:dyDescent="0.25">
      <c r="B161" s="357" t="s">
        <v>49</v>
      </c>
      <c r="C161" s="368"/>
      <c r="D161" s="369" t="s">
        <v>80</v>
      </c>
      <c r="E161" s="370"/>
      <c r="F161" s="369" t="s">
        <v>49</v>
      </c>
      <c r="G161" s="370"/>
      <c r="H161" s="371" t="s">
        <v>81</v>
      </c>
      <c r="I161" s="372"/>
      <c r="J161" s="18">
        <f>SUM(J162:J168)</f>
        <v>722025</v>
      </c>
      <c r="K161" s="356" t="s">
        <v>49</v>
      </c>
      <c r="L161" s="356"/>
      <c r="M161" s="356"/>
    </row>
    <row r="162" spans="2:13" ht="18" customHeight="1" x14ac:dyDescent="0.25">
      <c r="B162" s="357" t="s">
        <v>49</v>
      </c>
      <c r="C162" s="358"/>
      <c r="D162" s="359" t="s">
        <v>49</v>
      </c>
      <c r="E162" s="360"/>
      <c r="F162" s="361" t="s">
        <v>54</v>
      </c>
      <c r="G162" s="362"/>
      <c r="H162" s="363" t="s">
        <v>55</v>
      </c>
      <c r="I162" s="364"/>
      <c r="J162" s="24">
        <v>435223</v>
      </c>
      <c r="K162" s="356" t="s">
        <v>49</v>
      </c>
      <c r="L162" s="356"/>
      <c r="M162" s="356"/>
    </row>
    <row r="163" spans="2:13" x14ac:dyDescent="0.25">
      <c r="B163" s="357" t="s">
        <v>49</v>
      </c>
      <c r="C163" s="358"/>
      <c r="D163" s="359" t="s">
        <v>49</v>
      </c>
      <c r="E163" s="360"/>
      <c r="F163" s="361" t="s">
        <v>56</v>
      </c>
      <c r="G163" s="362"/>
      <c r="H163" s="363" t="s">
        <v>40</v>
      </c>
      <c r="I163" s="364"/>
      <c r="J163" s="24">
        <v>25000</v>
      </c>
      <c r="K163" s="356" t="s">
        <v>49</v>
      </c>
      <c r="L163" s="356"/>
      <c r="M163" s="356"/>
    </row>
    <row r="164" spans="2:13" x14ac:dyDescent="0.25">
      <c r="B164" s="357" t="s">
        <v>49</v>
      </c>
      <c r="C164" s="358"/>
      <c r="D164" s="359" t="s">
        <v>49</v>
      </c>
      <c r="E164" s="360"/>
      <c r="F164" s="361" t="s">
        <v>57</v>
      </c>
      <c r="G164" s="362"/>
      <c r="H164" s="363" t="s">
        <v>58</v>
      </c>
      <c r="I164" s="364"/>
      <c r="J164" s="24">
        <v>74000</v>
      </c>
      <c r="K164" s="356" t="s">
        <v>49</v>
      </c>
      <c r="L164" s="356"/>
      <c r="M164" s="356"/>
    </row>
    <row r="165" spans="2:13" ht="18.75" customHeight="1" x14ac:dyDescent="0.25">
      <c r="B165" s="357" t="s">
        <v>49</v>
      </c>
      <c r="C165" s="358"/>
      <c r="D165" s="359" t="s">
        <v>49</v>
      </c>
      <c r="E165" s="360"/>
      <c r="F165" s="361" t="s">
        <v>59</v>
      </c>
      <c r="G165" s="362"/>
      <c r="H165" s="363" t="s">
        <v>60</v>
      </c>
      <c r="I165" s="364"/>
      <c r="J165" s="24">
        <v>6800</v>
      </c>
      <c r="K165" s="356" t="s">
        <v>49</v>
      </c>
      <c r="L165" s="356"/>
      <c r="M165" s="356"/>
    </row>
    <row r="166" spans="2:13" ht="20.25" customHeight="1" x14ac:dyDescent="0.25">
      <c r="B166" s="357" t="s">
        <v>49</v>
      </c>
      <c r="C166" s="358"/>
      <c r="D166" s="359" t="s">
        <v>49</v>
      </c>
      <c r="E166" s="360"/>
      <c r="F166" s="361" t="s">
        <v>61</v>
      </c>
      <c r="G166" s="362"/>
      <c r="H166" s="363" t="s">
        <v>42</v>
      </c>
      <c r="I166" s="364"/>
      <c r="J166" s="24">
        <v>1500</v>
      </c>
      <c r="K166" s="356" t="s">
        <v>49</v>
      </c>
      <c r="L166" s="356"/>
      <c r="M166" s="356"/>
    </row>
    <row r="167" spans="2:13" ht="19.5" customHeight="1" x14ac:dyDescent="0.25">
      <c r="B167" s="357" t="s">
        <v>49</v>
      </c>
      <c r="C167" s="358"/>
      <c r="D167" s="359" t="s">
        <v>49</v>
      </c>
      <c r="E167" s="360"/>
      <c r="F167" s="361" t="s">
        <v>108</v>
      </c>
      <c r="G167" s="362"/>
      <c r="H167" s="363" t="s">
        <v>41</v>
      </c>
      <c r="I167" s="364"/>
      <c r="J167" s="24">
        <v>165000</v>
      </c>
      <c r="K167" s="356" t="s">
        <v>49</v>
      </c>
      <c r="L167" s="356"/>
      <c r="M167" s="356"/>
    </row>
    <row r="168" spans="2:13" ht="21.75" customHeight="1" x14ac:dyDescent="0.25">
      <c r="B168" s="357" t="s">
        <v>49</v>
      </c>
      <c r="C168" s="358"/>
      <c r="D168" s="359" t="s">
        <v>49</v>
      </c>
      <c r="E168" s="360"/>
      <c r="F168" s="361" t="s">
        <v>97</v>
      </c>
      <c r="G168" s="362"/>
      <c r="H168" s="363" t="s">
        <v>73</v>
      </c>
      <c r="I168" s="364"/>
      <c r="J168" s="24">
        <v>14502</v>
      </c>
      <c r="K168" s="356" t="s">
        <v>49</v>
      </c>
      <c r="L168" s="356"/>
      <c r="M168" s="356"/>
    </row>
    <row r="169" spans="2:13" ht="25.5" customHeight="1" x14ac:dyDescent="0.25">
      <c r="B169" s="357" t="s">
        <v>49</v>
      </c>
      <c r="C169" s="368"/>
      <c r="D169" s="369" t="s">
        <v>109</v>
      </c>
      <c r="E169" s="370"/>
      <c r="F169" s="369" t="s">
        <v>49</v>
      </c>
      <c r="G169" s="370"/>
      <c r="H169" s="371" t="s">
        <v>110</v>
      </c>
      <c r="I169" s="372"/>
      <c r="J169" s="18">
        <f>SUM(J170:J177)</f>
        <v>531200</v>
      </c>
      <c r="K169" s="356" t="s">
        <v>49</v>
      </c>
      <c r="L169" s="356"/>
      <c r="M169" s="356"/>
    </row>
    <row r="170" spans="2:13" ht="23.25" customHeight="1" x14ac:dyDescent="0.25">
      <c r="B170" s="357" t="s">
        <v>49</v>
      </c>
      <c r="C170" s="358"/>
      <c r="D170" s="359" t="s">
        <v>49</v>
      </c>
      <c r="E170" s="360"/>
      <c r="F170" s="361" t="s">
        <v>90</v>
      </c>
      <c r="G170" s="362"/>
      <c r="H170" s="363" t="s">
        <v>53</v>
      </c>
      <c r="I170" s="364"/>
      <c r="J170" s="24">
        <v>21000</v>
      </c>
      <c r="K170" s="356" t="s">
        <v>49</v>
      </c>
      <c r="L170" s="356"/>
      <c r="M170" s="356"/>
    </row>
    <row r="171" spans="2:13" ht="44.25" customHeight="1" x14ac:dyDescent="0.25">
      <c r="B171" s="357" t="s">
        <v>49</v>
      </c>
      <c r="C171" s="358"/>
      <c r="D171" s="359" t="s">
        <v>49</v>
      </c>
      <c r="E171" s="360"/>
      <c r="F171" s="361" t="s">
        <v>57</v>
      </c>
      <c r="G171" s="362"/>
      <c r="H171" s="363" t="s">
        <v>58</v>
      </c>
      <c r="I171" s="364"/>
      <c r="J171" s="24">
        <v>64000</v>
      </c>
      <c r="K171" s="356" t="s">
        <v>49</v>
      </c>
      <c r="L171" s="356"/>
      <c r="M171" s="356"/>
    </row>
    <row r="172" spans="2:13" ht="36" customHeight="1" x14ac:dyDescent="0.25">
      <c r="B172" s="357" t="s">
        <v>49</v>
      </c>
      <c r="C172" s="358"/>
      <c r="D172" s="359" t="s">
        <v>49</v>
      </c>
      <c r="E172" s="360"/>
      <c r="F172" s="361" t="s">
        <v>59</v>
      </c>
      <c r="G172" s="362"/>
      <c r="H172" s="363" t="s">
        <v>60</v>
      </c>
      <c r="I172" s="364"/>
      <c r="J172" s="24">
        <v>8000</v>
      </c>
      <c r="K172" s="356" t="s">
        <v>49</v>
      </c>
      <c r="L172" s="356"/>
      <c r="M172" s="356"/>
    </row>
    <row r="173" spans="2:13" ht="29.25" customHeight="1" x14ac:dyDescent="0.25">
      <c r="B173" s="357" t="s">
        <v>49</v>
      </c>
      <c r="C173" s="358"/>
      <c r="D173" s="359" t="s">
        <v>49</v>
      </c>
      <c r="E173" s="360"/>
      <c r="F173" s="361" t="s">
        <v>67</v>
      </c>
      <c r="G173" s="362"/>
      <c r="H173" s="363" t="s">
        <v>36</v>
      </c>
      <c r="I173" s="364"/>
      <c r="J173" s="24">
        <v>200</v>
      </c>
      <c r="K173" s="356" t="s">
        <v>49</v>
      </c>
      <c r="L173" s="356"/>
      <c r="M173" s="356"/>
    </row>
    <row r="174" spans="2:13" ht="39" customHeight="1" x14ac:dyDescent="0.25">
      <c r="B174" s="357" t="s">
        <v>49</v>
      </c>
      <c r="C174" s="358"/>
      <c r="D174" s="359" t="s">
        <v>49</v>
      </c>
      <c r="E174" s="360"/>
      <c r="F174" s="361" t="s">
        <v>68</v>
      </c>
      <c r="G174" s="362"/>
      <c r="H174" s="363" t="s">
        <v>37</v>
      </c>
      <c r="I174" s="364"/>
      <c r="J174" s="24">
        <v>21000</v>
      </c>
      <c r="K174" s="356" t="s">
        <v>49</v>
      </c>
      <c r="L174" s="356"/>
      <c r="M174" s="356"/>
    </row>
    <row r="175" spans="2:13" ht="20.25" customHeight="1" x14ac:dyDescent="0.25">
      <c r="B175" s="357" t="s">
        <v>49</v>
      </c>
      <c r="C175" s="358"/>
      <c r="D175" s="359" t="s">
        <v>49</v>
      </c>
      <c r="E175" s="360"/>
      <c r="F175" s="361" t="s">
        <v>97</v>
      </c>
      <c r="G175" s="362"/>
      <c r="H175" s="363" t="s">
        <v>73</v>
      </c>
      <c r="I175" s="364"/>
      <c r="J175" s="24">
        <v>26000</v>
      </c>
      <c r="K175" s="356" t="s">
        <v>49</v>
      </c>
      <c r="L175" s="356"/>
      <c r="M175" s="356"/>
    </row>
    <row r="176" spans="2:13" ht="23.25" customHeight="1" x14ac:dyDescent="0.25">
      <c r="B176" s="357" t="s">
        <v>49</v>
      </c>
      <c r="C176" s="358"/>
      <c r="D176" s="359" t="s">
        <v>49</v>
      </c>
      <c r="E176" s="360"/>
      <c r="F176" s="361" t="s">
        <v>77</v>
      </c>
      <c r="G176" s="362"/>
      <c r="H176" s="363" t="s">
        <v>39</v>
      </c>
      <c r="I176" s="364"/>
      <c r="J176" s="24">
        <v>370000</v>
      </c>
      <c r="K176" s="356" t="s">
        <v>49</v>
      </c>
      <c r="L176" s="356"/>
      <c r="M176" s="356"/>
    </row>
    <row r="177" spans="2:13" ht="22.5" customHeight="1" x14ac:dyDescent="0.25">
      <c r="B177" s="357" t="s">
        <v>49</v>
      </c>
      <c r="C177" s="358"/>
      <c r="D177" s="359" t="s">
        <v>49</v>
      </c>
      <c r="E177" s="360"/>
      <c r="F177" s="361" t="s">
        <v>100</v>
      </c>
      <c r="G177" s="362"/>
      <c r="H177" s="363" t="s">
        <v>101</v>
      </c>
      <c r="I177" s="364"/>
      <c r="J177" s="24">
        <v>21000</v>
      </c>
      <c r="K177" s="356" t="s">
        <v>49</v>
      </c>
      <c r="L177" s="356"/>
      <c r="M177" s="356"/>
    </row>
    <row r="178" spans="2:13" ht="21.75" customHeight="1" x14ac:dyDescent="0.25">
      <c r="B178" s="357" t="s">
        <v>49</v>
      </c>
      <c r="C178" s="368"/>
      <c r="D178" s="369" t="s">
        <v>111</v>
      </c>
      <c r="E178" s="370"/>
      <c r="F178" s="369" t="s">
        <v>49</v>
      </c>
      <c r="G178" s="370"/>
      <c r="H178" s="371" t="s">
        <v>112</v>
      </c>
      <c r="I178" s="372"/>
      <c r="J178" s="18">
        <f>SUM(J179:J180)</f>
        <v>35020.93</v>
      </c>
      <c r="K178" s="356" t="s">
        <v>49</v>
      </c>
      <c r="L178" s="356"/>
      <c r="M178" s="356"/>
    </row>
    <row r="179" spans="2:13" ht="41.25" customHeight="1" x14ac:dyDescent="0.25">
      <c r="B179" s="357" t="s">
        <v>49</v>
      </c>
      <c r="C179" s="358"/>
      <c r="D179" s="359" t="s">
        <v>49</v>
      </c>
      <c r="E179" s="360"/>
      <c r="F179" s="361" t="s">
        <v>61</v>
      </c>
      <c r="G179" s="362"/>
      <c r="H179" s="363" t="s">
        <v>42</v>
      </c>
      <c r="I179" s="364"/>
      <c r="J179" s="24">
        <v>346.71</v>
      </c>
      <c r="K179" s="356" t="s">
        <v>49</v>
      </c>
      <c r="L179" s="356"/>
      <c r="M179" s="356"/>
    </row>
    <row r="180" spans="2:13" ht="21.75" customHeight="1" x14ac:dyDescent="0.25">
      <c r="B180" s="357" t="s">
        <v>49</v>
      </c>
      <c r="C180" s="358"/>
      <c r="D180" s="359" t="s">
        <v>49</v>
      </c>
      <c r="E180" s="360"/>
      <c r="F180" s="361" t="s">
        <v>62</v>
      </c>
      <c r="G180" s="362"/>
      <c r="H180" s="363" t="s">
        <v>63</v>
      </c>
      <c r="I180" s="364"/>
      <c r="J180" s="24">
        <v>34674.22</v>
      </c>
      <c r="K180" s="356" t="s">
        <v>49</v>
      </c>
      <c r="L180" s="356"/>
      <c r="M180" s="356"/>
    </row>
    <row r="181" spans="2:13" x14ac:dyDescent="0.25">
      <c r="B181" s="365" t="s">
        <v>84</v>
      </c>
      <c r="C181" s="366"/>
      <c r="D181" s="366"/>
      <c r="E181" s="366"/>
      <c r="F181" s="366"/>
      <c r="G181" s="366"/>
      <c r="H181" s="366"/>
      <c r="I181" s="367"/>
      <c r="J181" s="24">
        <f>SUM(J178+J169+J161+J158+J151+J127)</f>
        <v>6774925.2500000009</v>
      </c>
      <c r="K181" s="356" t="s">
        <v>49</v>
      </c>
      <c r="L181" s="356"/>
      <c r="M181" s="356"/>
    </row>
    <row r="182" spans="2:13" x14ac:dyDescent="0.25">
      <c r="K182" s="356" t="s">
        <v>49</v>
      </c>
      <c r="L182" s="356"/>
      <c r="M182" s="356"/>
    </row>
    <row r="183" spans="2:13" x14ac:dyDescent="0.25">
      <c r="K183" s="356" t="s">
        <v>49</v>
      </c>
      <c r="L183" s="356"/>
      <c r="M183" s="356"/>
    </row>
    <row r="184" spans="2:13" x14ac:dyDescent="0.25">
      <c r="B184" t="s">
        <v>115</v>
      </c>
      <c r="E184" t="s">
        <v>116</v>
      </c>
      <c r="K184" s="356" t="s">
        <v>49</v>
      </c>
      <c r="L184" s="356"/>
      <c r="M184" s="356"/>
    </row>
    <row r="185" spans="2:13" x14ac:dyDescent="0.25">
      <c r="B185" s="44" t="s">
        <v>5</v>
      </c>
      <c r="C185" s="45">
        <v>4226320</v>
      </c>
      <c r="E185" s="1" t="s">
        <v>117</v>
      </c>
      <c r="F185" s="46">
        <f>J181</f>
        <v>6774925.2500000009</v>
      </c>
      <c r="K185" s="356" t="s">
        <v>49</v>
      </c>
      <c r="L185" s="356"/>
      <c r="M185" s="356"/>
    </row>
    <row r="186" spans="2:13" ht="22.5" customHeight="1" x14ac:dyDescent="0.25">
      <c r="B186" s="44" t="s">
        <v>6</v>
      </c>
      <c r="C186" s="45">
        <v>3626350</v>
      </c>
      <c r="E186" s="1" t="s">
        <v>118</v>
      </c>
      <c r="F186" s="46">
        <f>J119</f>
        <v>2750940</v>
      </c>
    </row>
    <row r="187" spans="2:13" ht="21.75" customHeight="1" x14ac:dyDescent="0.25">
      <c r="B187" s="44" t="s">
        <v>7</v>
      </c>
      <c r="C187" s="45">
        <v>2283320</v>
      </c>
      <c r="E187" s="1"/>
      <c r="F187" s="46">
        <f>SUM(F185:F186)</f>
        <v>9525865.25</v>
      </c>
      <c r="K187" s="356" t="s">
        <v>49</v>
      </c>
      <c r="L187" s="356"/>
      <c r="M187" s="356"/>
    </row>
    <row r="188" spans="2:13" ht="21" customHeight="1" x14ac:dyDescent="0.25">
      <c r="B188" s="1"/>
      <c r="C188" s="45">
        <f>SUM(C185:C187)</f>
        <v>10135990</v>
      </c>
    </row>
    <row r="189" spans="2:13" ht="25.5" customHeight="1" x14ac:dyDescent="0.25"/>
    <row r="190" spans="2:13" x14ac:dyDescent="0.25">
      <c r="B190" s="9" t="s">
        <v>119</v>
      </c>
      <c r="E190" s="4">
        <f>C188</f>
        <v>10135990</v>
      </c>
    </row>
    <row r="191" spans="2:13" ht="15.75" thickBot="1" x14ac:dyDescent="0.3">
      <c r="E191" s="47">
        <v>9525865.25</v>
      </c>
    </row>
    <row r="192" spans="2:13" ht="15.75" thickBot="1" x14ac:dyDescent="0.3">
      <c r="E192" s="8">
        <f>E190-E191</f>
        <v>610124.75</v>
      </c>
    </row>
  </sheetData>
  <mergeCells count="458">
    <mergeCell ref="B72:C72"/>
    <mergeCell ref="D72:E72"/>
    <mergeCell ref="F72:G72"/>
    <mergeCell ref="H72:I72"/>
    <mergeCell ref="B73:C73"/>
    <mergeCell ref="D73:E73"/>
    <mergeCell ref="F73:G73"/>
    <mergeCell ref="H73:I73"/>
    <mergeCell ref="B76:C76"/>
    <mergeCell ref="D76:E76"/>
    <mergeCell ref="F76:G76"/>
    <mergeCell ref="H76:I76"/>
    <mergeCell ref="B77:C77"/>
    <mergeCell ref="D77:E77"/>
    <mergeCell ref="F77:G77"/>
    <mergeCell ref="H77:I77"/>
    <mergeCell ref="B74:C74"/>
    <mergeCell ref="D74:E74"/>
    <mergeCell ref="F74:G74"/>
    <mergeCell ref="H74:I74"/>
    <mergeCell ref="B75:C75"/>
    <mergeCell ref="D75:E75"/>
    <mergeCell ref="F75:G75"/>
    <mergeCell ref="H75:I75"/>
    <mergeCell ref="B80:C80"/>
    <mergeCell ref="D80:E80"/>
    <mergeCell ref="F80:G80"/>
    <mergeCell ref="H80:I80"/>
    <mergeCell ref="B81:C81"/>
    <mergeCell ref="D81:E81"/>
    <mergeCell ref="F81:G81"/>
    <mergeCell ref="H81:I81"/>
    <mergeCell ref="B78:C78"/>
    <mergeCell ref="D78:E78"/>
    <mergeCell ref="F78:G78"/>
    <mergeCell ref="H78:I78"/>
    <mergeCell ref="B79:C79"/>
    <mergeCell ref="D79:E79"/>
    <mergeCell ref="F79:G79"/>
    <mergeCell ref="H79:I79"/>
    <mergeCell ref="B84:C84"/>
    <mergeCell ref="D84:E84"/>
    <mergeCell ref="F84:G84"/>
    <mergeCell ref="H84:I84"/>
    <mergeCell ref="B85:C85"/>
    <mergeCell ref="D85:E85"/>
    <mergeCell ref="F85:G85"/>
    <mergeCell ref="H85:I85"/>
    <mergeCell ref="B82:C82"/>
    <mergeCell ref="D82:E82"/>
    <mergeCell ref="F82:G82"/>
    <mergeCell ref="H82:I82"/>
    <mergeCell ref="B83:C83"/>
    <mergeCell ref="D83:E83"/>
    <mergeCell ref="F83:G83"/>
    <mergeCell ref="H83:I83"/>
    <mergeCell ref="B90:C90"/>
    <mergeCell ref="D90:E90"/>
    <mergeCell ref="F90:G90"/>
    <mergeCell ref="H90:I90"/>
    <mergeCell ref="B91:C91"/>
    <mergeCell ref="D91:E91"/>
    <mergeCell ref="F91:G91"/>
    <mergeCell ref="H91:I91"/>
    <mergeCell ref="B86:C86"/>
    <mergeCell ref="D86:E86"/>
    <mergeCell ref="F86:G86"/>
    <mergeCell ref="H86:I86"/>
    <mergeCell ref="B87:C87"/>
    <mergeCell ref="D87:E87"/>
    <mergeCell ref="F87:G87"/>
    <mergeCell ref="H87:I87"/>
    <mergeCell ref="B94:C94"/>
    <mergeCell ref="D94:E94"/>
    <mergeCell ref="F94:G94"/>
    <mergeCell ref="H94:I94"/>
    <mergeCell ref="B95:C95"/>
    <mergeCell ref="D95:E95"/>
    <mergeCell ref="F95:G95"/>
    <mergeCell ref="H95:I95"/>
    <mergeCell ref="B92:C92"/>
    <mergeCell ref="D92:E92"/>
    <mergeCell ref="F92:G92"/>
    <mergeCell ref="H92:I92"/>
    <mergeCell ref="B93:C93"/>
    <mergeCell ref="D93:E93"/>
    <mergeCell ref="F93:G93"/>
    <mergeCell ref="H93:I93"/>
    <mergeCell ref="B99:C99"/>
    <mergeCell ref="D99:E99"/>
    <mergeCell ref="F99:G99"/>
    <mergeCell ref="H99:I99"/>
    <mergeCell ref="B100:C100"/>
    <mergeCell ref="D100:E100"/>
    <mergeCell ref="F100:G100"/>
    <mergeCell ref="H100:I100"/>
    <mergeCell ref="B96:C96"/>
    <mergeCell ref="D96:E96"/>
    <mergeCell ref="F96:G96"/>
    <mergeCell ref="H96:I96"/>
    <mergeCell ref="B98:C98"/>
    <mergeCell ref="D98:E98"/>
    <mergeCell ref="F98:G98"/>
    <mergeCell ref="H98:I98"/>
    <mergeCell ref="B103:C103"/>
    <mergeCell ref="D103:E103"/>
    <mergeCell ref="F103:G103"/>
    <mergeCell ref="H103:I103"/>
    <mergeCell ref="B104:C104"/>
    <mergeCell ref="D104:E104"/>
    <mergeCell ref="F104:G104"/>
    <mergeCell ref="H104:I104"/>
    <mergeCell ref="B101:C101"/>
    <mergeCell ref="D101:E101"/>
    <mergeCell ref="F101:G101"/>
    <mergeCell ref="H101:I101"/>
    <mergeCell ref="B102:C102"/>
    <mergeCell ref="D102:E102"/>
    <mergeCell ref="F102:G102"/>
    <mergeCell ref="H102:I102"/>
    <mergeCell ref="B107:C107"/>
    <mergeCell ref="D107:E107"/>
    <mergeCell ref="F107:G107"/>
    <mergeCell ref="H107:I107"/>
    <mergeCell ref="B109:C109"/>
    <mergeCell ref="D109:E109"/>
    <mergeCell ref="F109:G109"/>
    <mergeCell ref="H109:I109"/>
    <mergeCell ref="B105:C105"/>
    <mergeCell ref="D105:E105"/>
    <mergeCell ref="F105:G105"/>
    <mergeCell ref="H105:I105"/>
    <mergeCell ref="B106:C106"/>
    <mergeCell ref="D106:E106"/>
    <mergeCell ref="F106:G106"/>
    <mergeCell ref="H106:I106"/>
    <mergeCell ref="B112:C112"/>
    <mergeCell ref="D112:E112"/>
    <mergeCell ref="F112:G112"/>
    <mergeCell ref="H112:I112"/>
    <mergeCell ref="B113:C113"/>
    <mergeCell ref="D113:E113"/>
    <mergeCell ref="F113:G113"/>
    <mergeCell ref="H113:I113"/>
    <mergeCell ref="B110:C110"/>
    <mergeCell ref="D110:E110"/>
    <mergeCell ref="F110:G110"/>
    <mergeCell ref="H110:I110"/>
    <mergeCell ref="B111:C111"/>
    <mergeCell ref="D111:E111"/>
    <mergeCell ref="F111:G111"/>
    <mergeCell ref="H111:I111"/>
    <mergeCell ref="B116:C116"/>
    <mergeCell ref="D116:E116"/>
    <mergeCell ref="F116:G116"/>
    <mergeCell ref="H116:I116"/>
    <mergeCell ref="B117:C117"/>
    <mergeCell ref="D117:E117"/>
    <mergeCell ref="F117:G117"/>
    <mergeCell ref="H117:I117"/>
    <mergeCell ref="B114:C114"/>
    <mergeCell ref="D114:E114"/>
    <mergeCell ref="F114:G114"/>
    <mergeCell ref="H114:I114"/>
    <mergeCell ref="B115:C115"/>
    <mergeCell ref="D115:E115"/>
    <mergeCell ref="F115:G115"/>
    <mergeCell ref="H115:I115"/>
    <mergeCell ref="B118:C118"/>
    <mergeCell ref="D118:E118"/>
    <mergeCell ref="F118:G118"/>
    <mergeCell ref="H118:I118"/>
    <mergeCell ref="B119:I119"/>
    <mergeCell ref="B125:C125"/>
    <mergeCell ref="D125:E125"/>
    <mergeCell ref="F125:G125"/>
    <mergeCell ref="H125:I125"/>
    <mergeCell ref="B126:C126"/>
    <mergeCell ref="D126:E126"/>
    <mergeCell ref="F126:G126"/>
    <mergeCell ref="H126:I126"/>
    <mergeCell ref="K126:M126"/>
    <mergeCell ref="B127:C127"/>
    <mergeCell ref="D127:E127"/>
    <mergeCell ref="F127:G127"/>
    <mergeCell ref="H127:I127"/>
    <mergeCell ref="B128:C128"/>
    <mergeCell ref="D128:E128"/>
    <mergeCell ref="F128:G128"/>
    <mergeCell ref="H128:I128"/>
    <mergeCell ref="K128:M128"/>
    <mergeCell ref="B129:C129"/>
    <mergeCell ref="D129:E129"/>
    <mergeCell ref="F129:G129"/>
    <mergeCell ref="H129:I129"/>
    <mergeCell ref="K129:M129"/>
    <mergeCell ref="B130:C130"/>
    <mergeCell ref="D130:E130"/>
    <mergeCell ref="F130:G130"/>
    <mergeCell ref="H130:I130"/>
    <mergeCell ref="K130:M130"/>
    <mergeCell ref="B131:C131"/>
    <mergeCell ref="D131:E131"/>
    <mergeCell ref="F131:G131"/>
    <mergeCell ref="H131:I131"/>
    <mergeCell ref="K131:M131"/>
    <mergeCell ref="B132:C132"/>
    <mergeCell ref="D132:E132"/>
    <mergeCell ref="F132:G132"/>
    <mergeCell ref="H132:I132"/>
    <mergeCell ref="K132:M132"/>
    <mergeCell ref="B133:C133"/>
    <mergeCell ref="D133:E133"/>
    <mergeCell ref="F133:G133"/>
    <mergeCell ref="H133:I133"/>
    <mergeCell ref="K133:M133"/>
    <mergeCell ref="B134:C134"/>
    <mergeCell ref="D134:E134"/>
    <mergeCell ref="F134:G134"/>
    <mergeCell ref="H134:I134"/>
    <mergeCell ref="K134:M134"/>
    <mergeCell ref="B135:C135"/>
    <mergeCell ref="D135:E135"/>
    <mergeCell ref="F135:G135"/>
    <mergeCell ref="H135:I135"/>
    <mergeCell ref="K135:M135"/>
    <mergeCell ref="B136:C136"/>
    <mergeCell ref="D136:E136"/>
    <mergeCell ref="F136:G136"/>
    <mergeCell ref="H136:I136"/>
    <mergeCell ref="K136:M136"/>
    <mergeCell ref="B137:C137"/>
    <mergeCell ref="D137:E137"/>
    <mergeCell ref="F137:G137"/>
    <mergeCell ref="H137:I137"/>
    <mergeCell ref="K137:M137"/>
    <mergeCell ref="B138:C138"/>
    <mergeCell ref="D138:E138"/>
    <mergeCell ref="F138:G138"/>
    <mergeCell ref="H138:I138"/>
    <mergeCell ref="K138:M138"/>
    <mergeCell ref="B139:C139"/>
    <mergeCell ref="D139:E139"/>
    <mergeCell ref="F139:G139"/>
    <mergeCell ref="H139:I139"/>
    <mergeCell ref="K139:M139"/>
    <mergeCell ref="B140:C140"/>
    <mergeCell ref="D140:E140"/>
    <mergeCell ref="F140:G140"/>
    <mergeCell ref="H140:I140"/>
    <mergeCell ref="K140:M140"/>
    <mergeCell ref="B141:C141"/>
    <mergeCell ref="D141:E141"/>
    <mergeCell ref="F141:G141"/>
    <mergeCell ref="H141:I141"/>
    <mergeCell ref="K141:M141"/>
    <mergeCell ref="B142:C142"/>
    <mergeCell ref="D142:E142"/>
    <mergeCell ref="F142:G142"/>
    <mergeCell ref="H142:I142"/>
    <mergeCell ref="K142:M142"/>
    <mergeCell ref="B143:C143"/>
    <mergeCell ref="D143:E143"/>
    <mergeCell ref="F143:G143"/>
    <mergeCell ref="H143:I143"/>
    <mergeCell ref="K143:M143"/>
    <mergeCell ref="B144:C144"/>
    <mergeCell ref="D144:E144"/>
    <mergeCell ref="F144:G144"/>
    <mergeCell ref="H144:I144"/>
    <mergeCell ref="K144:M144"/>
    <mergeCell ref="B145:C145"/>
    <mergeCell ref="D145:E145"/>
    <mergeCell ref="F145:G145"/>
    <mergeCell ref="H145:I145"/>
    <mergeCell ref="K145:M145"/>
    <mergeCell ref="B146:C146"/>
    <mergeCell ref="D146:E146"/>
    <mergeCell ref="F146:G146"/>
    <mergeCell ref="H146:I146"/>
    <mergeCell ref="K146:M146"/>
    <mergeCell ref="B147:C147"/>
    <mergeCell ref="D147:E147"/>
    <mergeCell ref="F147:G147"/>
    <mergeCell ref="H147:I147"/>
    <mergeCell ref="K147:M147"/>
    <mergeCell ref="B148:C148"/>
    <mergeCell ref="D148:E148"/>
    <mergeCell ref="F148:G148"/>
    <mergeCell ref="H148:I148"/>
    <mergeCell ref="K148:M148"/>
    <mergeCell ref="B149:C149"/>
    <mergeCell ref="D149:E149"/>
    <mergeCell ref="F149:G149"/>
    <mergeCell ref="H149:I149"/>
    <mergeCell ref="K149:M149"/>
    <mergeCell ref="B150:C150"/>
    <mergeCell ref="D150:E150"/>
    <mergeCell ref="F150:G150"/>
    <mergeCell ref="H150:I150"/>
    <mergeCell ref="K150:M150"/>
    <mergeCell ref="B151:C151"/>
    <mergeCell ref="D151:E151"/>
    <mergeCell ref="F151:G151"/>
    <mergeCell ref="H151:I151"/>
    <mergeCell ref="K151:M151"/>
    <mergeCell ref="B152:C152"/>
    <mergeCell ref="D152:E152"/>
    <mergeCell ref="F152:G152"/>
    <mergeCell ref="H152:I152"/>
    <mergeCell ref="K152:M152"/>
    <mergeCell ref="B153:C153"/>
    <mergeCell ref="D153:E153"/>
    <mergeCell ref="F153:G153"/>
    <mergeCell ref="H153:I153"/>
    <mergeCell ref="K153:M153"/>
    <mergeCell ref="B154:C154"/>
    <mergeCell ref="D154:E154"/>
    <mergeCell ref="F154:G154"/>
    <mergeCell ref="H154:I154"/>
    <mergeCell ref="K154:M154"/>
    <mergeCell ref="B155:C155"/>
    <mergeCell ref="D155:E155"/>
    <mergeCell ref="F155:G155"/>
    <mergeCell ref="H155:I155"/>
    <mergeCell ref="K155:M155"/>
    <mergeCell ref="B156:C156"/>
    <mergeCell ref="D156:E156"/>
    <mergeCell ref="F156:G156"/>
    <mergeCell ref="H156:I156"/>
    <mergeCell ref="K156:M156"/>
    <mergeCell ref="B157:C157"/>
    <mergeCell ref="D157:E157"/>
    <mergeCell ref="F157:G157"/>
    <mergeCell ref="H157:I157"/>
    <mergeCell ref="K157:M157"/>
    <mergeCell ref="B158:C158"/>
    <mergeCell ref="D158:E158"/>
    <mergeCell ref="F158:G158"/>
    <mergeCell ref="H158:I158"/>
    <mergeCell ref="K158:M158"/>
    <mergeCell ref="B159:C159"/>
    <mergeCell ref="D159:E159"/>
    <mergeCell ref="F159:G159"/>
    <mergeCell ref="H159:I159"/>
    <mergeCell ref="K159:M159"/>
    <mergeCell ref="B160:C160"/>
    <mergeCell ref="D160:E160"/>
    <mergeCell ref="F160:G160"/>
    <mergeCell ref="H160:I160"/>
    <mergeCell ref="K160:M160"/>
    <mergeCell ref="B161:C161"/>
    <mergeCell ref="D161:E161"/>
    <mergeCell ref="F161:G161"/>
    <mergeCell ref="H161:I161"/>
    <mergeCell ref="K161:M161"/>
    <mergeCell ref="B162:C162"/>
    <mergeCell ref="D162:E162"/>
    <mergeCell ref="F162:G162"/>
    <mergeCell ref="H162:I162"/>
    <mergeCell ref="K162:M162"/>
    <mergeCell ref="B163:C163"/>
    <mergeCell ref="D163:E163"/>
    <mergeCell ref="F163:G163"/>
    <mergeCell ref="H163:I163"/>
    <mergeCell ref="K163:M163"/>
    <mergeCell ref="B164:C164"/>
    <mergeCell ref="D164:E164"/>
    <mergeCell ref="F164:G164"/>
    <mergeCell ref="H164:I164"/>
    <mergeCell ref="K164:M164"/>
    <mergeCell ref="B165:C165"/>
    <mergeCell ref="D165:E165"/>
    <mergeCell ref="F165:G165"/>
    <mergeCell ref="H165:I165"/>
    <mergeCell ref="K165:M165"/>
    <mergeCell ref="B166:C166"/>
    <mergeCell ref="D166:E166"/>
    <mergeCell ref="F166:G166"/>
    <mergeCell ref="H166:I166"/>
    <mergeCell ref="K166:M166"/>
    <mergeCell ref="B167:C167"/>
    <mergeCell ref="D167:E167"/>
    <mergeCell ref="F167:G167"/>
    <mergeCell ref="H167:I167"/>
    <mergeCell ref="K167:M167"/>
    <mergeCell ref="B168:C168"/>
    <mergeCell ref="D168:E168"/>
    <mergeCell ref="F168:G168"/>
    <mergeCell ref="H168:I168"/>
    <mergeCell ref="K168:M168"/>
    <mergeCell ref="B169:C169"/>
    <mergeCell ref="D169:E169"/>
    <mergeCell ref="F169:G169"/>
    <mergeCell ref="H169:I169"/>
    <mergeCell ref="K169:M169"/>
    <mergeCell ref="B170:C170"/>
    <mergeCell ref="D170:E170"/>
    <mergeCell ref="F170:G170"/>
    <mergeCell ref="H170:I170"/>
    <mergeCell ref="K170:M170"/>
    <mergeCell ref="B171:C171"/>
    <mergeCell ref="D171:E171"/>
    <mergeCell ref="F171:G171"/>
    <mergeCell ref="H171:I171"/>
    <mergeCell ref="K171:M171"/>
    <mergeCell ref="B172:C172"/>
    <mergeCell ref="D172:E172"/>
    <mergeCell ref="F172:G172"/>
    <mergeCell ref="H172:I172"/>
    <mergeCell ref="K172:M172"/>
    <mergeCell ref="B173:C173"/>
    <mergeCell ref="D173:E173"/>
    <mergeCell ref="F173:G173"/>
    <mergeCell ref="H173:I173"/>
    <mergeCell ref="K173:M173"/>
    <mergeCell ref="B174:C174"/>
    <mergeCell ref="D174:E174"/>
    <mergeCell ref="F174:G174"/>
    <mergeCell ref="H174:I174"/>
    <mergeCell ref="K174:M174"/>
    <mergeCell ref="B175:C175"/>
    <mergeCell ref="D175:E175"/>
    <mergeCell ref="F175:G175"/>
    <mergeCell ref="H175:I175"/>
    <mergeCell ref="K175:M175"/>
    <mergeCell ref="B176:C176"/>
    <mergeCell ref="D176:E176"/>
    <mergeCell ref="F176:G176"/>
    <mergeCell ref="H176:I176"/>
    <mergeCell ref="K176:M176"/>
    <mergeCell ref="B177:C177"/>
    <mergeCell ref="D177:E177"/>
    <mergeCell ref="F177:G177"/>
    <mergeCell ref="H177:I177"/>
    <mergeCell ref="K177:M177"/>
    <mergeCell ref="B178:C178"/>
    <mergeCell ref="D178:E178"/>
    <mergeCell ref="F178:G178"/>
    <mergeCell ref="H178:I178"/>
    <mergeCell ref="K178:M178"/>
    <mergeCell ref="B179:C179"/>
    <mergeCell ref="D179:E179"/>
    <mergeCell ref="F179:G179"/>
    <mergeCell ref="H179:I179"/>
    <mergeCell ref="K179:M179"/>
    <mergeCell ref="K182:M182"/>
    <mergeCell ref="K183:M183"/>
    <mergeCell ref="K184:M184"/>
    <mergeCell ref="K185:M185"/>
    <mergeCell ref="K187:M187"/>
    <mergeCell ref="B180:C180"/>
    <mergeCell ref="D180:E180"/>
    <mergeCell ref="F180:G180"/>
    <mergeCell ref="H180:I180"/>
    <mergeCell ref="K180:M180"/>
    <mergeCell ref="B181:I181"/>
    <mergeCell ref="K181:M181"/>
  </mergeCells>
  <pageMargins left="0.25" right="0.25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A3AB-64E0-4C82-A07F-0F6A1C283FB7}">
  <dimension ref="B4:F11"/>
  <sheetViews>
    <sheetView workbookViewId="0">
      <selection activeCell="E12" sqref="E12"/>
    </sheetView>
  </sheetViews>
  <sheetFormatPr defaultRowHeight="15" x14ac:dyDescent="0.25"/>
  <cols>
    <col min="5" max="5" width="14" customWidth="1"/>
  </cols>
  <sheetData>
    <row r="4" spans="2:6" x14ac:dyDescent="0.25">
      <c r="B4" t="s">
        <v>121</v>
      </c>
    </row>
    <row r="7" spans="2:6" x14ac:dyDescent="0.25">
      <c r="C7">
        <v>2174733.52</v>
      </c>
      <c r="E7">
        <v>3131988.11</v>
      </c>
    </row>
    <row r="8" spans="2:6" x14ac:dyDescent="0.25">
      <c r="E8">
        <v>387834.48</v>
      </c>
    </row>
    <row r="9" spans="2:6" x14ac:dyDescent="0.25">
      <c r="E9">
        <v>196189.56</v>
      </c>
      <c r="F9" t="s">
        <v>122</v>
      </c>
    </row>
    <row r="10" spans="2:6" x14ac:dyDescent="0.25">
      <c r="E10">
        <v>36000</v>
      </c>
      <c r="F10" t="s">
        <v>123</v>
      </c>
    </row>
    <row r="11" spans="2:6" x14ac:dyDescent="0.25">
      <c r="E11">
        <f>E7-(E8+E9+E10)</f>
        <v>2511964.0699999998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01ACE-DBE5-46DC-ADED-0F0CA6CD1377}">
  <sheetPr>
    <pageSetUpPr fitToPage="1"/>
  </sheetPr>
  <dimension ref="A1:M317"/>
  <sheetViews>
    <sheetView zoomScaleNormal="100" workbookViewId="0">
      <selection activeCell="E324" sqref="E324"/>
    </sheetView>
  </sheetViews>
  <sheetFormatPr defaultRowHeight="15" x14ac:dyDescent="0.25"/>
  <cols>
    <col min="2" max="2" width="48.7109375" customWidth="1"/>
    <col min="3" max="3" width="14.7109375" customWidth="1"/>
    <col min="4" max="4" width="22.85546875" customWidth="1"/>
    <col min="5" max="5" width="32" customWidth="1"/>
    <col min="6" max="6" width="28.42578125" customWidth="1"/>
    <col min="8" max="8" width="11.5703125" customWidth="1"/>
    <col min="9" max="9" width="11.28515625" customWidth="1"/>
  </cols>
  <sheetData>
    <row r="1" spans="1:10" x14ac:dyDescent="0.25">
      <c r="A1" s="403" t="s">
        <v>276</v>
      </c>
      <c r="B1" s="403"/>
      <c r="C1" s="403"/>
      <c r="D1" s="403"/>
      <c r="E1" s="403"/>
      <c r="F1" s="403"/>
      <c r="G1" s="167">
        <v>4110</v>
      </c>
      <c r="H1" s="168">
        <v>0.17560000000000001</v>
      </c>
    </row>
    <row r="2" spans="1:10" x14ac:dyDescent="0.25">
      <c r="A2" s="48"/>
      <c r="B2" s="48"/>
      <c r="C2" s="48"/>
      <c r="D2" s="48"/>
      <c r="E2" s="48"/>
      <c r="F2" s="50"/>
      <c r="G2" s="167"/>
      <c r="H2" s="168"/>
    </row>
    <row r="3" spans="1:10" x14ac:dyDescent="0.25">
      <c r="A3" s="403" t="s">
        <v>277</v>
      </c>
      <c r="B3" s="403"/>
      <c r="C3" s="403"/>
      <c r="D3" s="403"/>
      <c r="E3" s="403"/>
      <c r="F3" s="403"/>
      <c r="G3" s="167">
        <v>4120</v>
      </c>
      <c r="H3" s="168">
        <v>2.4500000000000001E-2</v>
      </c>
      <c r="I3" s="169" t="s">
        <v>224</v>
      </c>
    </row>
    <row r="4" spans="1:10" ht="15.75" thickBot="1" x14ac:dyDescent="0.3">
      <c r="A4" s="48"/>
      <c r="B4" s="49"/>
      <c r="C4" s="50"/>
      <c r="D4" s="50"/>
      <c r="E4" s="50"/>
      <c r="F4" s="50"/>
    </row>
    <row r="5" spans="1:10" ht="26.25" thickBot="1" x14ac:dyDescent="0.3">
      <c r="A5" s="170" t="s">
        <v>125</v>
      </c>
      <c r="B5" s="170" t="s">
        <v>126</v>
      </c>
      <c r="C5" s="170" t="s">
        <v>127</v>
      </c>
      <c r="D5" s="170" t="s">
        <v>128</v>
      </c>
      <c r="E5" s="170" t="s">
        <v>129</v>
      </c>
      <c r="F5" s="170" t="s">
        <v>130</v>
      </c>
      <c r="H5" s="171"/>
      <c r="I5" s="172"/>
      <c r="J5" s="171"/>
    </row>
    <row r="6" spans="1:10" ht="27.75" customHeight="1" thickBot="1" x14ac:dyDescent="0.3">
      <c r="A6" s="51"/>
      <c r="B6" s="52"/>
      <c r="C6" s="53"/>
      <c r="D6" s="53"/>
      <c r="E6" s="54"/>
      <c r="F6" s="55"/>
    </row>
    <row r="7" spans="1:10" ht="16.5" customHeight="1" x14ac:dyDescent="0.25">
      <c r="A7" s="56">
        <v>801</v>
      </c>
      <c r="B7" s="57" t="s">
        <v>131</v>
      </c>
      <c r="C7" s="58"/>
      <c r="D7" s="59"/>
      <c r="E7" s="59">
        <f>SUM(E9+E211+E215+E276+E177+E309+E115+E243)</f>
        <v>12058155.25</v>
      </c>
      <c r="F7" s="60">
        <f>SUM(F9+F211+F215+F276+F177+F309+F115+F243)</f>
        <v>12058155.25</v>
      </c>
    </row>
    <row r="8" spans="1:10" ht="18.75" customHeight="1" x14ac:dyDescent="0.25">
      <c r="A8" s="61"/>
      <c r="B8" s="62"/>
      <c r="C8" s="63"/>
      <c r="D8" s="64"/>
      <c r="E8" s="64"/>
      <c r="F8" s="65"/>
    </row>
    <row r="9" spans="1:10" ht="25.5" customHeight="1" thickBot="1" x14ac:dyDescent="0.3">
      <c r="A9" s="173">
        <v>801</v>
      </c>
      <c r="B9" s="174" t="s">
        <v>132</v>
      </c>
      <c r="C9" s="175"/>
      <c r="D9" s="176"/>
      <c r="E9" s="176">
        <f>E10+E17+E24+E25+E36+E46+E47+E66+E69+E70+E86+E87+E88+E89+E90+E91+E92+E101+E102+E111+E112+E113+E59+E62</f>
        <v>6889776.3300000001</v>
      </c>
      <c r="F9" s="177">
        <f>SUM(F10:F113)</f>
        <v>6889776.3300000001</v>
      </c>
    </row>
    <row r="10" spans="1:10" ht="19.5" customHeight="1" x14ac:dyDescent="0.25">
      <c r="A10" s="388">
        <v>3020</v>
      </c>
      <c r="B10" s="67" t="s">
        <v>133</v>
      </c>
      <c r="C10" s="68"/>
      <c r="D10" s="69"/>
      <c r="E10" s="59">
        <f>SUM(E11:E16)</f>
        <v>225778</v>
      </c>
      <c r="F10" s="391">
        <f>E10</f>
        <v>225778</v>
      </c>
      <c r="G10" s="164"/>
      <c r="H10" s="178"/>
      <c r="I10" s="165"/>
      <c r="J10" s="179"/>
    </row>
    <row r="11" spans="1:10" ht="19.5" customHeight="1" x14ac:dyDescent="0.25">
      <c r="A11" s="389"/>
      <c r="B11" s="72" t="s">
        <v>134</v>
      </c>
      <c r="C11" s="73">
        <v>12</v>
      </c>
      <c r="D11" s="74">
        <f>8122+9832</f>
        <v>17954</v>
      </c>
      <c r="E11" s="74">
        <f t="shared" ref="E11:E16" si="0">C11*D11</f>
        <v>215448</v>
      </c>
      <c r="F11" s="392"/>
      <c r="J11" s="179"/>
    </row>
    <row r="12" spans="1:10" ht="19.5" customHeight="1" x14ac:dyDescent="0.25">
      <c r="A12" s="389"/>
      <c r="B12" s="72" t="s">
        <v>135</v>
      </c>
      <c r="C12" s="73">
        <v>1</v>
      </c>
      <c r="D12" s="76">
        <v>3500</v>
      </c>
      <c r="E12" s="74">
        <f t="shared" si="0"/>
        <v>3500</v>
      </c>
      <c r="F12" s="392"/>
      <c r="H12" s="178"/>
      <c r="I12" s="165"/>
      <c r="J12" s="179"/>
    </row>
    <row r="13" spans="1:10" ht="19.5" customHeight="1" x14ac:dyDescent="0.25">
      <c r="A13" s="389"/>
      <c r="B13" s="72" t="s">
        <v>225</v>
      </c>
      <c r="C13" s="73">
        <v>1</v>
      </c>
      <c r="D13" s="74">
        <f>830+1500+1500</f>
        <v>3830</v>
      </c>
      <c r="E13" s="74">
        <f t="shared" si="0"/>
        <v>3830</v>
      </c>
      <c r="F13" s="392"/>
      <c r="H13" s="178"/>
      <c r="I13" s="165"/>
      <c r="J13" s="179"/>
    </row>
    <row r="14" spans="1:10" ht="19.5" customHeight="1" x14ac:dyDescent="0.25">
      <c r="A14" s="389"/>
      <c r="B14" s="72" t="s">
        <v>136</v>
      </c>
      <c r="C14" s="73">
        <v>3</v>
      </c>
      <c r="D14" s="76">
        <v>1000</v>
      </c>
      <c r="E14" s="74">
        <f t="shared" si="0"/>
        <v>3000</v>
      </c>
      <c r="F14" s="392"/>
      <c r="H14" s="178"/>
      <c r="I14" s="165"/>
      <c r="J14" s="179"/>
    </row>
    <row r="15" spans="1:10" ht="19.5" customHeight="1" x14ac:dyDescent="0.25">
      <c r="A15" s="389"/>
      <c r="B15" s="77"/>
      <c r="C15" s="73">
        <v>0</v>
      </c>
      <c r="D15" s="74">
        <v>0</v>
      </c>
      <c r="E15" s="74">
        <f>ROUND(C15*D15,0)</f>
        <v>0</v>
      </c>
      <c r="F15" s="392"/>
      <c r="H15" s="178"/>
      <c r="I15" s="165"/>
      <c r="J15" s="179"/>
    </row>
    <row r="16" spans="1:10" ht="19.5" customHeight="1" thickBot="1" x14ac:dyDescent="0.3">
      <c r="A16" s="390"/>
      <c r="B16" s="79"/>
      <c r="C16" s="80">
        <v>0</v>
      </c>
      <c r="D16" s="81">
        <v>0</v>
      </c>
      <c r="E16" s="82">
        <f t="shared" si="0"/>
        <v>0</v>
      </c>
      <c r="F16" s="393"/>
      <c r="H16" s="178"/>
      <c r="I16" s="165"/>
      <c r="J16" s="179"/>
    </row>
    <row r="17" spans="1:10" ht="33.75" customHeight="1" x14ac:dyDescent="0.25">
      <c r="A17" s="388">
        <v>4010</v>
      </c>
      <c r="B17" s="84" t="s">
        <v>137</v>
      </c>
      <c r="C17" s="85"/>
      <c r="D17" s="86"/>
      <c r="E17" s="87">
        <f>SUM(E18:E23)</f>
        <v>859850</v>
      </c>
      <c r="F17" s="391">
        <f>E17</f>
        <v>859850</v>
      </c>
      <c r="H17" s="178"/>
      <c r="I17" s="165"/>
      <c r="J17" s="179"/>
    </row>
    <row r="18" spans="1:10" ht="14.25" customHeight="1" x14ac:dyDescent="0.25">
      <c r="A18" s="389"/>
      <c r="B18" s="72" t="s">
        <v>138</v>
      </c>
      <c r="C18" s="73">
        <v>12</v>
      </c>
      <c r="D18" s="74">
        <f>25650+40550</f>
        <v>66200</v>
      </c>
      <c r="E18" s="86">
        <f t="shared" ref="E18:E23" si="1">C18*D18</f>
        <v>794400</v>
      </c>
      <c r="F18" s="392"/>
      <c r="H18" s="178"/>
      <c r="I18" s="165"/>
      <c r="J18" s="179"/>
    </row>
    <row r="19" spans="1:10" ht="14.25" customHeight="1" x14ac:dyDescent="0.25">
      <c r="A19" s="389"/>
      <c r="B19" s="72" t="s">
        <v>139</v>
      </c>
      <c r="C19" s="88">
        <v>0</v>
      </c>
      <c r="D19" s="76"/>
      <c r="E19" s="86">
        <f>ROUND(C19*D19,0)</f>
        <v>0</v>
      </c>
      <c r="F19" s="392"/>
      <c r="H19" s="178"/>
      <c r="I19" s="165"/>
      <c r="J19" s="180"/>
    </row>
    <row r="20" spans="1:10" ht="14.25" customHeight="1" x14ac:dyDescent="0.25">
      <c r="A20" s="389"/>
      <c r="B20" s="72"/>
      <c r="C20" s="89">
        <v>1</v>
      </c>
      <c r="D20" s="89">
        <v>0</v>
      </c>
      <c r="E20" s="86">
        <f>ROUND(C20*D20,0)</f>
        <v>0</v>
      </c>
      <c r="F20" s="392"/>
      <c r="H20" s="178"/>
      <c r="I20" s="165"/>
      <c r="J20" s="180"/>
    </row>
    <row r="21" spans="1:10" ht="14.25" customHeight="1" x14ac:dyDescent="0.25">
      <c r="A21" s="389"/>
      <c r="B21" s="72"/>
      <c r="C21" s="73">
        <v>1</v>
      </c>
      <c r="D21" s="74">
        <v>0</v>
      </c>
      <c r="E21" s="86">
        <f>ROUND(C21*D21,0)</f>
        <v>0</v>
      </c>
      <c r="F21" s="392"/>
      <c r="H21" s="178"/>
      <c r="I21" s="165"/>
      <c r="J21" s="180"/>
    </row>
    <row r="22" spans="1:10" ht="14.25" customHeight="1" x14ac:dyDescent="0.25">
      <c r="A22" s="389"/>
      <c r="B22" s="72" t="s">
        <v>142</v>
      </c>
      <c r="C22" s="73">
        <v>1</v>
      </c>
      <c r="D22" s="74">
        <f>16500+7150</f>
        <v>23650</v>
      </c>
      <c r="E22" s="74">
        <f t="shared" si="1"/>
        <v>23650</v>
      </c>
      <c r="F22" s="392"/>
      <c r="H22" s="178"/>
      <c r="I22" s="165"/>
      <c r="J22" s="180"/>
    </row>
    <row r="23" spans="1:10" ht="14.25" customHeight="1" thickBot="1" x14ac:dyDescent="0.3">
      <c r="A23" s="390"/>
      <c r="B23" s="90" t="s">
        <v>143</v>
      </c>
      <c r="C23" s="91">
        <v>1</v>
      </c>
      <c r="D23" s="92">
        <v>41800</v>
      </c>
      <c r="E23" s="92">
        <f t="shared" si="1"/>
        <v>41800</v>
      </c>
      <c r="F23" s="393"/>
      <c r="H23" s="178"/>
      <c r="I23" s="165"/>
      <c r="J23" s="180"/>
    </row>
    <row r="24" spans="1:10" ht="19.5" customHeight="1" thickBot="1" x14ac:dyDescent="0.3">
      <c r="A24" s="66">
        <v>4040</v>
      </c>
      <c r="B24" s="93" t="s">
        <v>144</v>
      </c>
      <c r="C24" s="94">
        <v>1</v>
      </c>
      <c r="D24" s="95">
        <f>20000+35500</f>
        <v>55500</v>
      </c>
      <c r="E24" s="69">
        <f>C24*D24</f>
        <v>55500</v>
      </c>
      <c r="F24" s="70">
        <f>E24</f>
        <v>55500</v>
      </c>
      <c r="H24" s="178"/>
      <c r="I24" s="165"/>
      <c r="J24" s="180"/>
    </row>
    <row r="25" spans="1:10" ht="18.75" customHeight="1" x14ac:dyDescent="0.25">
      <c r="A25" s="388">
        <v>4110</v>
      </c>
      <c r="B25" s="67" t="s">
        <v>124</v>
      </c>
      <c r="C25" s="96"/>
      <c r="D25" s="97"/>
      <c r="E25" s="59">
        <f>SUM(E26:E35)</f>
        <v>811518</v>
      </c>
      <c r="F25" s="391">
        <f>E25</f>
        <v>811518</v>
      </c>
      <c r="H25" s="178"/>
      <c r="I25" s="165"/>
      <c r="J25" s="179"/>
    </row>
    <row r="26" spans="1:10" ht="18.75" customHeight="1" x14ac:dyDescent="0.25">
      <c r="A26" s="389"/>
      <c r="B26" s="72" t="s">
        <v>145</v>
      </c>
      <c r="C26" s="73">
        <v>12</v>
      </c>
      <c r="D26" s="76">
        <f>1690.12+1426.22</f>
        <v>3116.34</v>
      </c>
      <c r="E26" s="74">
        <f t="shared" ref="E26:E35" si="2">ROUND(C26*D26,0)</f>
        <v>37396</v>
      </c>
      <c r="F26" s="392"/>
      <c r="G26" s="180"/>
      <c r="H26" s="178"/>
      <c r="I26" s="165"/>
      <c r="J26" s="179"/>
    </row>
    <row r="27" spans="1:10" ht="18.75" customHeight="1" x14ac:dyDescent="0.25">
      <c r="A27" s="389"/>
      <c r="B27" s="72" t="s">
        <v>146</v>
      </c>
      <c r="C27" s="73">
        <v>12</v>
      </c>
      <c r="D27" s="76">
        <f>4504.14+6970.55</f>
        <v>11474.69</v>
      </c>
      <c r="E27" s="74">
        <f t="shared" si="2"/>
        <v>137696</v>
      </c>
      <c r="F27" s="392"/>
      <c r="G27" s="180"/>
      <c r="H27" s="178"/>
      <c r="I27" s="165"/>
      <c r="J27" s="179"/>
    </row>
    <row r="28" spans="1:10" ht="18.75" customHeight="1" x14ac:dyDescent="0.25">
      <c r="A28" s="389"/>
      <c r="B28" s="72" t="s">
        <v>147</v>
      </c>
      <c r="C28" s="73">
        <v>12</v>
      </c>
      <c r="D28" s="76">
        <f>22642.32+19645.25</f>
        <v>42287.57</v>
      </c>
      <c r="E28" s="74">
        <f t="shared" si="2"/>
        <v>507451</v>
      </c>
      <c r="F28" s="392"/>
      <c r="G28" s="180"/>
      <c r="H28" s="178"/>
      <c r="I28" s="165"/>
      <c r="J28" s="179"/>
    </row>
    <row r="29" spans="1:10" ht="18.75" customHeight="1" x14ac:dyDescent="0.25">
      <c r="A29" s="389"/>
      <c r="B29" s="72" t="s">
        <v>148</v>
      </c>
      <c r="C29" s="73">
        <v>12</v>
      </c>
      <c r="D29" s="76">
        <f>1247.99+2800.82</f>
        <v>4048.8100000000004</v>
      </c>
      <c r="E29" s="74">
        <f t="shared" si="2"/>
        <v>48586</v>
      </c>
      <c r="F29" s="392"/>
      <c r="G29" s="180"/>
      <c r="H29" s="178"/>
      <c r="I29" s="165"/>
      <c r="J29" s="179"/>
    </row>
    <row r="30" spans="1:10" ht="18.75" customHeight="1" x14ac:dyDescent="0.25">
      <c r="A30" s="389"/>
      <c r="B30" s="72" t="s">
        <v>226</v>
      </c>
      <c r="C30" s="73">
        <v>1</v>
      </c>
      <c r="D30" s="76">
        <f>2961.14+3237.39</f>
        <v>6198.53</v>
      </c>
      <c r="E30" s="74">
        <f t="shared" si="2"/>
        <v>6199</v>
      </c>
      <c r="F30" s="392"/>
      <c r="G30" s="180"/>
      <c r="H30" s="178"/>
      <c r="I30" s="165"/>
      <c r="J30" s="179"/>
    </row>
    <row r="31" spans="1:10" ht="18.75" customHeight="1" x14ac:dyDescent="0.25">
      <c r="A31" s="389"/>
      <c r="B31" s="72"/>
      <c r="C31" s="73">
        <v>1</v>
      </c>
      <c r="D31" s="74">
        <v>0</v>
      </c>
      <c r="E31" s="74">
        <f t="shared" si="2"/>
        <v>0</v>
      </c>
      <c r="F31" s="392"/>
      <c r="G31" s="180"/>
      <c r="H31" s="178"/>
      <c r="I31" s="165"/>
      <c r="J31" s="179"/>
    </row>
    <row r="32" spans="1:10" ht="18.75" customHeight="1" x14ac:dyDescent="0.25">
      <c r="A32" s="389"/>
      <c r="B32" s="72"/>
      <c r="C32" s="73">
        <v>1</v>
      </c>
      <c r="D32" s="74">
        <v>0</v>
      </c>
      <c r="E32" s="74">
        <f t="shared" si="2"/>
        <v>0</v>
      </c>
      <c r="F32" s="392"/>
      <c r="G32" s="180"/>
      <c r="H32" s="178"/>
      <c r="I32" s="165"/>
      <c r="J32" s="179"/>
    </row>
    <row r="33" spans="1:10" ht="18.75" customHeight="1" x14ac:dyDescent="0.25">
      <c r="A33" s="389"/>
      <c r="B33" s="72" t="s">
        <v>227</v>
      </c>
      <c r="C33" s="73">
        <v>1</v>
      </c>
      <c r="D33" s="76">
        <f>8780+12033</f>
        <v>20813</v>
      </c>
      <c r="E33" s="74">
        <f t="shared" si="2"/>
        <v>20813</v>
      </c>
      <c r="F33" s="392"/>
      <c r="G33" s="180"/>
      <c r="H33" s="178"/>
      <c r="I33" s="165"/>
      <c r="J33" s="179"/>
    </row>
    <row r="34" spans="1:10" ht="18.75" customHeight="1" x14ac:dyDescent="0.25">
      <c r="A34" s="389"/>
      <c r="B34" s="72" t="s">
        <v>150</v>
      </c>
      <c r="C34" s="73">
        <v>10</v>
      </c>
      <c r="D34" s="76">
        <f>D46*H1</f>
        <v>0</v>
      </c>
      <c r="E34" s="74">
        <f t="shared" si="2"/>
        <v>0</v>
      </c>
      <c r="F34" s="392"/>
      <c r="G34" s="180"/>
      <c r="H34" s="178"/>
      <c r="I34" s="165"/>
      <c r="J34" s="179"/>
    </row>
    <row r="35" spans="1:10" ht="29.25" customHeight="1" thickBot="1" x14ac:dyDescent="0.3">
      <c r="A35" s="390"/>
      <c r="B35" s="79" t="s">
        <v>151</v>
      </c>
      <c r="C35" s="98">
        <v>1</v>
      </c>
      <c r="D35" s="99">
        <f>24584+28793.25</f>
        <v>53377.25</v>
      </c>
      <c r="E35" s="82">
        <f t="shared" si="2"/>
        <v>53377</v>
      </c>
      <c r="F35" s="393"/>
      <c r="G35" s="180"/>
      <c r="H35" s="178"/>
      <c r="I35" s="165"/>
      <c r="J35" s="179"/>
    </row>
    <row r="36" spans="1:10" ht="21" customHeight="1" x14ac:dyDescent="0.25">
      <c r="A36" s="388">
        <v>4120</v>
      </c>
      <c r="B36" s="67" t="s">
        <v>152</v>
      </c>
      <c r="C36" s="94"/>
      <c r="D36" s="95"/>
      <c r="E36" s="59">
        <f>SUM(E37:E45)</f>
        <v>114530</v>
      </c>
      <c r="F36" s="391">
        <f>E36</f>
        <v>114530</v>
      </c>
      <c r="G36" s="180"/>
      <c r="H36" s="178"/>
      <c r="I36" s="165"/>
      <c r="J36" s="179"/>
    </row>
    <row r="37" spans="1:10" ht="21" customHeight="1" x14ac:dyDescent="0.25">
      <c r="A37" s="389"/>
      <c r="B37" s="72" t="s">
        <v>153</v>
      </c>
      <c r="C37" s="73">
        <v>12</v>
      </c>
      <c r="D37" s="76">
        <f>198.99+240.88</f>
        <v>439.87</v>
      </c>
      <c r="E37" s="74">
        <f t="shared" ref="E37:E45" si="3">ROUND(C37*D37,0)</f>
        <v>5278</v>
      </c>
      <c r="F37" s="392"/>
      <c r="G37" s="180"/>
      <c r="H37" s="178"/>
      <c r="I37" s="165"/>
      <c r="J37" s="179"/>
    </row>
    <row r="38" spans="1:10" ht="21" customHeight="1" x14ac:dyDescent="0.25">
      <c r="A38" s="389"/>
      <c r="B38" s="72" t="s">
        <v>154</v>
      </c>
      <c r="C38" s="73">
        <v>12</v>
      </c>
      <c r="D38" s="76">
        <f>993.48+628.43</f>
        <v>1621.9099999999999</v>
      </c>
      <c r="E38" s="74">
        <f t="shared" si="3"/>
        <v>19463</v>
      </c>
      <c r="F38" s="392"/>
      <c r="G38" s="180"/>
      <c r="H38" s="178"/>
      <c r="I38" s="165"/>
      <c r="J38" s="179"/>
    </row>
    <row r="39" spans="1:10" ht="21" customHeight="1" x14ac:dyDescent="0.25">
      <c r="A39" s="389"/>
      <c r="B39" s="72" t="s">
        <v>155</v>
      </c>
      <c r="C39" s="73">
        <v>12</v>
      </c>
      <c r="D39" s="76">
        <f>2740.94+3227.09</f>
        <v>5968.0300000000007</v>
      </c>
      <c r="E39" s="74">
        <f t="shared" si="3"/>
        <v>71616</v>
      </c>
      <c r="F39" s="392"/>
      <c r="G39" s="180"/>
      <c r="H39" s="178"/>
      <c r="I39" s="165"/>
      <c r="J39" s="179"/>
    </row>
    <row r="40" spans="1:10" ht="21" customHeight="1" x14ac:dyDescent="0.25">
      <c r="A40" s="389"/>
      <c r="B40" s="72" t="s">
        <v>156</v>
      </c>
      <c r="C40" s="73">
        <v>12</v>
      </c>
      <c r="D40" s="76">
        <f>390.78+177.87</f>
        <v>568.65</v>
      </c>
      <c r="E40" s="74">
        <f t="shared" si="3"/>
        <v>6824</v>
      </c>
      <c r="F40" s="392"/>
      <c r="G40" s="180"/>
      <c r="H40" s="178"/>
      <c r="I40" s="165"/>
      <c r="J40" s="179"/>
    </row>
    <row r="41" spans="1:10" ht="21" customHeight="1" x14ac:dyDescent="0.25">
      <c r="A41" s="389"/>
      <c r="B41" s="72" t="s">
        <v>226</v>
      </c>
      <c r="C41" s="73">
        <v>1</v>
      </c>
      <c r="D41" s="76">
        <f>413.14+461.41</f>
        <v>874.55</v>
      </c>
      <c r="E41" s="74">
        <f t="shared" si="3"/>
        <v>875</v>
      </c>
      <c r="F41" s="392"/>
      <c r="G41" s="180"/>
      <c r="H41" s="178"/>
      <c r="I41" s="165"/>
      <c r="J41" s="179"/>
    </row>
    <row r="42" spans="1:10" ht="21" customHeight="1" x14ac:dyDescent="0.25">
      <c r="A42" s="389"/>
      <c r="B42" s="72"/>
      <c r="C42" s="73">
        <v>0</v>
      </c>
      <c r="D42" s="74">
        <v>0</v>
      </c>
      <c r="E42" s="74">
        <f t="shared" si="3"/>
        <v>0</v>
      </c>
      <c r="F42" s="392"/>
      <c r="G42" s="180"/>
      <c r="H42" s="178"/>
      <c r="I42" s="165"/>
      <c r="J42" s="179"/>
    </row>
    <row r="43" spans="1:10" ht="33.75" customHeight="1" x14ac:dyDescent="0.25">
      <c r="A43" s="389"/>
      <c r="B43" s="72" t="s">
        <v>228</v>
      </c>
      <c r="C43" s="73">
        <v>1</v>
      </c>
      <c r="D43" s="181">
        <f>1715+1225</f>
        <v>2940</v>
      </c>
      <c r="E43" s="74">
        <f t="shared" si="3"/>
        <v>2940</v>
      </c>
      <c r="F43" s="392"/>
      <c r="G43" s="180"/>
      <c r="H43" s="178"/>
      <c r="I43" s="165"/>
      <c r="J43" s="179"/>
    </row>
    <row r="44" spans="1:10" ht="21" customHeight="1" x14ac:dyDescent="0.25">
      <c r="A44" s="389"/>
      <c r="B44" s="72" t="s">
        <v>157</v>
      </c>
      <c r="C44" s="73">
        <v>10</v>
      </c>
      <c r="D44" s="76">
        <f>D46*H3</f>
        <v>0</v>
      </c>
      <c r="E44" s="74">
        <f t="shared" si="3"/>
        <v>0</v>
      </c>
      <c r="F44" s="392"/>
      <c r="G44" s="180"/>
      <c r="H44" s="178"/>
      <c r="I44" s="165"/>
      <c r="J44" s="179"/>
    </row>
    <row r="45" spans="1:10" ht="24.75" customHeight="1" thickBot="1" x14ac:dyDescent="0.3">
      <c r="A45" s="390"/>
      <c r="B45" s="90" t="s">
        <v>158</v>
      </c>
      <c r="C45" s="80">
        <v>1</v>
      </c>
      <c r="D45" s="100">
        <f>4103.75+3430</f>
        <v>7533.75</v>
      </c>
      <c r="E45" s="82">
        <f t="shared" si="3"/>
        <v>7534</v>
      </c>
      <c r="F45" s="393"/>
      <c r="G45" s="180"/>
      <c r="H45" s="178"/>
      <c r="I45" s="165"/>
      <c r="J45" s="179"/>
    </row>
    <row r="46" spans="1:10" ht="28.5" customHeight="1" thickBot="1" x14ac:dyDescent="0.3">
      <c r="A46" s="66">
        <v>4170</v>
      </c>
      <c r="B46" s="93" t="s">
        <v>159</v>
      </c>
      <c r="C46" s="68">
        <v>0</v>
      </c>
      <c r="D46" s="69">
        <v>0</v>
      </c>
      <c r="E46" s="69">
        <f>C46*D46</f>
        <v>0</v>
      </c>
      <c r="F46" s="70">
        <f>E46</f>
        <v>0</v>
      </c>
    </row>
    <row r="47" spans="1:10" ht="28.5" customHeight="1" x14ac:dyDescent="0.25">
      <c r="A47" s="388">
        <v>4210</v>
      </c>
      <c r="B47" s="67" t="s">
        <v>160</v>
      </c>
      <c r="C47" s="58"/>
      <c r="D47" s="59"/>
      <c r="E47" s="59">
        <f>SUM(E48:E58)</f>
        <v>97150</v>
      </c>
      <c r="F47" s="391">
        <f>E47</f>
        <v>97150</v>
      </c>
    </row>
    <row r="48" spans="1:10" ht="66" customHeight="1" x14ac:dyDescent="0.25">
      <c r="A48" s="389"/>
      <c r="B48" s="106" t="s">
        <v>229</v>
      </c>
      <c r="C48" s="73">
        <v>1</v>
      </c>
      <c r="D48" s="74">
        <v>42500</v>
      </c>
      <c r="E48" s="74">
        <f>C48*D48</f>
        <v>42500</v>
      </c>
      <c r="F48" s="392"/>
      <c r="H48" s="182"/>
    </row>
    <row r="49" spans="1:6" ht="26.25" customHeight="1" x14ac:dyDescent="0.25">
      <c r="A49" s="389"/>
      <c r="B49" s="106" t="s">
        <v>279</v>
      </c>
      <c r="C49" s="73">
        <v>1</v>
      </c>
      <c r="D49" s="74">
        <v>2500</v>
      </c>
      <c r="E49" s="74">
        <f t="shared" ref="E49:E58" si="4">C49*D49</f>
        <v>2500</v>
      </c>
      <c r="F49" s="392"/>
    </row>
    <row r="50" spans="1:6" ht="26.25" customHeight="1" x14ac:dyDescent="0.25">
      <c r="A50" s="389"/>
      <c r="B50" s="106" t="s">
        <v>278</v>
      </c>
      <c r="C50" s="73">
        <v>1</v>
      </c>
      <c r="D50" s="74">
        <v>45000</v>
      </c>
      <c r="E50" s="74">
        <f t="shared" si="4"/>
        <v>45000</v>
      </c>
      <c r="F50" s="392"/>
    </row>
    <row r="51" spans="1:6" ht="26.25" customHeight="1" x14ac:dyDescent="0.25">
      <c r="A51" s="389"/>
      <c r="B51" s="106" t="s">
        <v>230</v>
      </c>
      <c r="C51" s="73">
        <v>1</v>
      </c>
      <c r="D51" s="74">
        <v>200</v>
      </c>
      <c r="E51" s="74">
        <f t="shared" si="4"/>
        <v>200</v>
      </c>
      <c r="F51" s="392"/>
    </row>
    <row r="52" spans="1:6" ht="26.25" customHeight="1" x14ac:dyDescent="0.25">
      <c r="A52" s="389"/>
      <c r="B52" s="106" t="s">
        <v>231</v>
      </c>
      <c r="C52" s="73">
        <v>1</v>
      </c>
      <c r="D52" s="74">
        <v>550</v>
      </c>
      <c r="E52" s="74">
        <f t="shared" si="4"/>
        <v>550</v>
      </c>
      <c r="F52" s="392"/>
    </row>
    <row r="53" spans="1:6" ht="26.25" customHeight="1" x14ac:dyDescent="0.25">
      <c r="A53" s="389"/>
      <c r="B53" s="106" t="s">
        <v>232</v>
      </c>
      <c r="C53" s="73">
        <v>1</v>
      </c>
      <c r="D53" s="74">
        <v>400</v>
      </c>
      <c r="E53" s="74">
        <f t="shared" si="4"/>
        <v>400</v>
      </c>
      <c r="F53" s="392"/>
    </row>
    <row r="54" spans="1:6" ht="26.25" customHeight="1" x14ac:dyDescent="0.25">
      <c r="A54" s="389"/>
      <c r="B54" s="106" t="s">
        <v>233</v>
      </c>
      <c r="C54" s="73">
        <v>1</v>
      </c>
      <c r="D54" s="74">
        <v>200</v>
      </c>
      <c r="E54" s="74">
        <f t="shared" si="4"/>
        <v>200</v>
      </c>
      <c r="F54" s="392"/>
    </row>
    <row r="55" spans="1:6" ht="26.25" customHeight="1" x14ac:dyDescent="0.25">
      <c r="A55" s="389"/>
      <c r="B55" s="106" t="s">
        <v>234</v>
      </c>
      <c r="C55" s="73">
        <v>1</v>
      </c>
      <c r="D55" s="74">
        <v>300</v>
      </c>
      <c r="E55" s="74">
        <f t="shared" si="4"/>
        <v>300</v>
      </c>
      <c r="F55" s="392"/>
    </row>
    <row r="56" spans="1:6" ht="26.25" customHeight="1" x14ac:dyDescent="0.25">
      <c r="A56" s="389"/>
      <c r="B56" s="106" t="s">
        <v>235</v>
      </c>
      <c r="C56" s="73">
        <v>1</v>
      </c>
      <c r="D56" s="74">
        <v>100</v>
      </c>
      <c r="E56" s="74">
        <f t="shared" si="4"/>
        <v>100</v>
      </c>
      <c r="F56" s="392"/>
    </row>
    <row r="57" spans="1:6" ht="26.25" customHeight="1" x14ac:dyDescent="0.25">
      <c r="A57" s="389"/>
      <c r="B57" s="106" t="s">
        <v>236</v>
      </c>
      <c r="C57" s="73">
        <v>1</v>
      </c>
      <c r="D57" s="74">
        <v>400</v>
      </c>
      <c r="E57" s="74">
        <f t="shared" si="4"/>
        <v>400</v>
      </c>
      <c r="F57" s="392"/>
    </row>
    <row r="58" spans="1:6" ht="26.25" customHeight="1" thickBot="1" x14ac:dyDescent="0.3">
      <c r="A58" s="390"/>
      <c r="B58" s="79" t="s">
        <v>237</v>
      </c>
      <c r="C58" s="98">
        <v>1</v>
      </c>
      <c r="D58" s="82">
        <v>5000</v>
      </c>
      <c r="E58" s="82">
        <f t="shared" si="4"/>
        <v>5000</v>
      </c>
      <c r="F58" s="393"/>
    </row>
    <row r="59" spans="1:6" ht="18.75" customHeight="1" x14ac:dyDescent="0.25">
      <c r="A59" s="388">
        <v>4240</v>
      </c>
      <c r="B59" s="67" t="s">
        <v>161</v>
      </c>
      <c r="C59" s="58"/>
      <c r="D59" s="59"/>
      <c r="E59" s="59">
        <f>SUM(E60:E61)</f>
        <v>12500</v>
      </c>
      <c r="F59" s="391">
        <f>E59</f>
        <v>12500</v>
      </c>
    </row>
    <row r="60" spans="1:6" ht="18.75" customHeight="1" x14ac:dyDescent="0.25">
      <c r="A60" s="389"/>
      <c r="B60" s="183" t="s">
        <v>280</v>
      </c>
      <c r="C60" s="184">
        <v>1</v>
      </c>
      <c r="D60" s="185">
        <v>10000</v>
      </c>
      <c r="E60" s="74">
        <f>C60*D60</f>
        <v>10000</v>
      </c>
      <c r="F60" s="392"/>
    </row>
    <row r="61" spans="1:6" ht="18.75" customHeight="1" thickBot="1" x14ac:dyDescent="0.3">
      <c r="A61" s="390"/>
      <c r="B61" s="79" t="s">
        <v>281</v>
      </c>
      <c r="C61" s="98">
        <v>1</v>
      </c>
      <c r="D61" s="82">
        <v>2500</v>
      </c>
      <c r="E61" s="82">
        <f>C61*D61</f>
        <v>2500</v>
      </c>
      <c r="F61" s="393"/>
    </row>
    <row r="62" spans="1:6" ht="20.25" customHeight="1" x14ac:dyDescent="0.25">
      <c r="A62" s="388">
        <v>4260</v>
      </c>
      <c r="B62" s="84" t="s">
        <v>162</v>
      </c>
      <c r="C62" s="116"/>
      <c r="D62" s="87"/>
      <c r="E62" s="186">
        <f>SUM(E63:E65)</f>
        <v>285372</v>
      </c>
      <c r="F62" s="391">
        <f>E62</f>
        <v>285372</v>
      </c>
    </row>
    <row r="63" spans="1:6" ht="20.25" customHeight="1" x14ac:dyDescent="0.25">
      <c r="A63" s="389"/>
      <c r="B63" s="72" t="s">
        <v>163</v>
      </c>
      <c r="C63" s="73">
        <v>12</v>
      </c>
      <c r="D63" s="74">
        <f>1698.66+740+980</f>
        <v>3418.66</v>
      </c>
      <c r="E63" s="110">
        <f>ROUND(C63*D63,0)</f>
        <v>41024</v>
      </c>
      <c r="F63" s="392"/>
    </row>
    <row r="64" spans="1:6" ht="20.25" customHeight="1" x14ac:dyDescent="0.25">
      <c r="A64" s="389"/>
      <c r="B64" s="72" t="s">
        <v>164</v>
      </c>
      <c r="C64" s="73">
        <v>4</v>
      </c>
      <c r="D64" s="74">
        <f>745+542.03+400</f>
        <v>1687.03</v>
      </c>
      <c r="E64" s="110">
        <f>ROUND(C64*D64,0)</f>
        <v>6748</v>
      </c>
      <c r="F64" s="392"/>
    </row>
    <row r="65" spans="1:6" ht="20.25" customHeight="1" thickBot="1" x14ac:dyDescent="0.3">
      <c r="A65" s="390"/>
      <c r="B65" s="72" t="s">
        <v>238</v>
      </c>
      <c r="C65" s="73">
        <v>12</v>
      </c>
      <c r="D65" s="74">
        <f>14000+5800</f>
        <v>19800</v>
      </c>
      <c r="E65" s="110">
        <f>ROUND(C65*D65,0)</f>
        <v>237600</v>
      </c>
      <c r="F65" s="393"/>
    </row>
    <row r="66" spans="1:6" ht="25.5" customHeight="1" thickBot="1" x14ac:dyDescent="0.3">
      <c r="A66" s="388">
        <v>4270</v>
      </c>
      <c r="B66" s="102" t="s">
        <v>239</v>
      </c>
      <c r="C66" s="103">
        <v>1</v>
      </c>
      <c r="D66" s="104"/>
      <c r="E66" s="104">
        <f>SUM(E67:E68)</f>
        <v>11000</v>
      </c>
      <c r="F66" s="391">
        <f>E66</f>
        <v>11000</v>
      </c>
    </row>
    <row r="67" spans="1:6" ht="25.5" customHeight="1" thickBot="1" x14ac:dyDescent="0.3">
      <c r="A67" s="389"/>
      <c r="B67" s="187"/>
      <c r="C67" s="188"/>
      <c r="D67" s="189"/>
      <c r="E67" s="189">
        <f>C67*D67</f>
        <v>0</v>
      </c>
      <c r="F67" s="392"/>
    </row>
    <row r="68" spans="1:6" ht="25.5" customHeight="1" thickBot="1" x14ac:dyDescent="0.3">
      <c r="A68" s="390"/>
      <c r="B68" s="187" t="s">
        <v>240</v>
      </c>
      <c r="C68" s="188">
        <v>1</v>
      </c>
      <c r="D68" s="189">
        <v>11000</v>
      </c>
      <c r="E68" s="189">
        <f>C68*D68</f>
        <v>11000</v>
      </c>
      <c r="F68" s="393"/>
    </row>
    <row r="69" spans="1:6" ht="26.25" customHeight="1" thickBot="1" x14ac:dyDescent="0.3">
      <c r="A69" s="101">
        <v>4280</v>
      </c>
      <c r="B69" s="102" t="s">
        <v>36</v>
      </c>
      <c r="C69" s="103">
        <v>1</v>
      </c>
      <c r="D69" s="104">
        <f>2000+1250+1350</f>
        <v>4600</v>
      </c>
      <c r="E69" s="104">
        <f>C69*D69</f>
        <v>4600</v>
      </c>
      <c r="F69" s="105">
        <f>E69</f>
        <v>4600</v>
      </c>
    </row>
    <row r="70" spans="1:6" ht="13.5" customHeight="1" x14ac:dyDescent="0.25">
      <c r="A70" s="388">
        <v>4300</v>
      </c>
      <c r="B70" s="84" t="s">
        <v>37</v>
      </c>
      <c r="C70" s="85"/>
      <c r="D70" s="86"/>
      <c r="E70" s="87">
        <f>SUM(E71:E85)</f>
        <v>84214</v>
      </c>
      <c r="F70" s="391">
        <f>E70</f>
        <v>84214</v>
      </c>
    </row>
    <row r="71" spans="1:6" ht="13.5" customHeight="1" x14ac:dyDescent="0.25">
      <c r="A71" s="389"/>
      <c r="B71" s="72" t="s">
        <v>165</v>
      </c>
      <c r="C71" s="73">
        <v>12</v>
      </c>
      <c r="D71" s="74">
        <v>420</v>
      </c>
      <c r="E71" s="74">
        <f>ROUND((C71*D71),0)</f>
        <v>5040</v>
      </c>
      <c r="F71" s="392"/>
    </row>
    <row r="72" spans="1:6" ht="13.5" customHeight="1" x14ac:dyDescent="0.25">
      <c r="A72" s="389"/>
      <c r="B72" s="72" t="s">
        <v>166</v>
      </c>
      <c r="C72" s="73">
        <v>12</v>
      </c>
      <c r="D72" s="74">
        <f>202+153+150</f>
        <v>505</v>
      </c>
      <c r="E72" s="74">
        <f t="shared" ref="E72:E85" si="5">ROUND((C72*D72),0)</f>
        <v>6060</v>
      </c>
      <c r="F72" s="392"/>
    </row>
    <row r="73" spans="1:6" ht="13.5" customHeight="1" x14ac:dyDescent="0.25">
      <c r="A73" s="389"/>
      <c r="B73" s="72" t="s">
        <v>167</v>
      </c>
      <c r="C73" s="73">
        <v>12</v>
      </c>
      <c r="D73" s="74">
        <v>500</v>
      </c>
      <c r="E73" s="74">
        <f t="shared" si="5"/>
        <v>6000</v>
      </c>
      <c r="F73" s="392"/>
    </row>
    <row r="74" spans="1:6" ht="13.5" customHeight="1" x14ac:dyDescent="0.25">
      <c r="A74" s="389"/>
      <c r="B74" s="72" t="s">
        <v>168</v>
      </c>
      <c r="C74" s="73">
        <v>12</v>
      </c>
      <c r="D74" s="74">
        <f>160+200+320</f>
        <v>680</v>
      </c>
      <c r="E74" s="74">
        <f t="shared" si="5"/>
        <v>8160</v>
      </c>
      <c r="F74" s="392"/>
    </row>
    <row r="75" spans="1:6" ht="13.5" customHeight="1" x14ac:dyDescent="0.25">
      <c r="A75" s="389"/>
      <c r="B75" s="72" t="s">
        <v>241</v>
      </c>
      <c r="C75" s="73">
        <v>12</v>
      </c>
      <c r="D75" s="74">
        <f>272+365</f>
        <v>637</v>
      </c>
      <c r="E75" s="74">
        <f t="shared" si="5"/>
        <v>7644</v>
      </c>
      <c r="F75" s="392"/>
    </row>
    <row r="76" spans="1:6" ht="13.5" customHeight="1" x14ac:dyDescent="0.25">
      <c r="A76" s="389"/>
      <c r="B76" s="72" t="s">
        <v>169</v>
      </c>
      <c r="C76" s="73">
        <v>4</v>
      </c>
      <c r="D76" s="74">
        <f>1300+770+1590</f>
        <v>3660</v>
      </c>
      <c r="E76" s="74">
        <f t="shared" si="5"/>
        <v>14640</v>
      </c>
      <c r="F76" s="392"/>
    </row>
    <row r="77" spans="1:6" ht="13.5" customHeight="1" x14ac:dyDescent="0.25">
      <c r="A77" s="389"/>
      <c r="B77" s="72" t="s">
        <v>242</v>
      </c>
      <c r="C77" s="73">
        <v>12</v>
      </c>
      <c r="D77" s="74">
        <v>550</v>
      </c>
      <c r="E77" s="74">
        <f t="shared" si="5"/>
        <v>6600</v>
      </c>
      <c r="F77" s="392"/>
    </row>
    <row r="78" spans="1:6" ht="22.5" customHeight="1" x14ac:dyDescent="0.25">
      <c r="A78" s="389"/>
      <c r="B78" s="72" t="s">
        <v>243</v>
      </c>
      <c r="C78" s="73">
        <v>1</v>
      </c>
      <c r="D78" s="74">
        <v>6000</v>
      </c>
      <c r="E78" s="74">
        <f t="shared" si="5"/>
        <v>6000</v>
      </c>
      <c r="F78" s="392"/>
    </row>
    <row r="79" spans="1:6" ht="21" customHeight="1" x14ac:dyDescent="0.25">
      <c r="A79" s="389"/>
      <c r="B79" s="72" t="s">
        <v>282</v>
      </c>
      <c r="C79" s="73">
        <v>1</v>
      </c>
      <c r="D79" s="74">
        <f>180+260+280</f>
        <v>720</v>
      </c>
      <c r="E79" s="74">
        <f t="shared" si="5"/>
        <v>720</v>
      </c>
      <c r="F79" s="392"/>
    </row>
    <row r="80" spans="1:6" ht="13.5" customHeight="1" x14ac:dyDescent="0.25">
      <c r="A80" s="389"/>
      <c r="B80" s="72" t="s">
        <v>244</v>
      </c>
      <c r="C80" s="73">
        <v>1</v>
      </c>
      <c r="D80" s="74">
        <v>450</v>
      </c>
      <c r="E80" s="74">
        <f t="shared" si="5"/>
        <v>450</v>
      </c>
      <c r="F80" s="392"/>
    </row>
    <row r="81" spans="1:6" ht="19.5" customHeight="1" x14ac:dyDescent="0.25">
      <c r="A81" s="389"/>
      <c r="B81" s="72" t="s">
        <v>283</v>
      </c>
      <c r="C81" s="73">
        <v>1</v>
      </c>
      <c r="D81" s="74">
        <v>1200</v>
      </c>
      <c r="E81" s="74">
        <f t="shared" si="5"/>
        <v>1200</v>
      </c>
      <c r="F81" s="392"/>
    </row>
    <row r="82" spans="1:6" ht="26.25" customHeight="1" x14ac:dyDescent="0.25">
      <c r="A82" s="389"/>
      <c r="B82" s="72" t="s">
        <v>245</v>
      </c>
      <c r="C82" s="73">
        <v>1</v>
      </c>
      <c r="D82" s="74">
        <v>700</v>
      </c>
      <c r="E82" s="74">
        <f t="shared" si="5"/>
        <v>700</v>
      </c>
      <c r="F82" s="392"/>
    </row>
    <row r="83" spans="1:6" ht="23.25" customHeight="1" x14ac:dyDescent="0.25">
      <c r="A83" s="389"/>
      <c r="B83" s="72" t="s">
        <v>246</v>
      </c>
      <c r="C83" s="73">
        <v>1</v>
      </c>
      <c r="D83" s="74">
        <f>6000+12000</f>
        <v>18000</v>
      </c>
      <c r="E83" s="74">
        <f t="shared" si="5"/>
        <v>18000</v>
      </c>
      <c r="F83" s="392"/>
    </row>
    <row r="84" spans="1:6" ht="13.5" customHeight="1" x14ac:dyDescent="0.25">
      <c r="A84" s="389"/>
      <c r="B84" s="72"/>
      <c r="C84" s="73"/>
      <c r="D84" s="74"/>
      <c r="E84" s="74">
        <f t="shared" si="5"/>
        <v>0</v>
      </c>
      <c r="F84" s="392"/>
    </row>
    <row r="85" spans="1:6" ht="20.25" customHeight="1" thickBot="1" x14ac:dyDescent="0.3">
      <c r="A85" s="390"/>
      <c r="B85" s="72" t="s">
        <v>247</v>
      </c>
      <c r="C85" s="73">
        <v>1</v>
      </c>
      <c r="D85" s="74">
        <v>3000</v>
      </c>
      <c r="E85" s="74">
        <f t="shared" si="5"/>
        <v>3000</v>
      </c>
      <c r="F85" s="393"/>
    </row>
    <row r="86" spans="1:6" ht="42.75" customHeight="1" thickBot="1" x14ac:dyDescent="0.3">
      <c r="A86" s="101">
        <v>4350</v>
      </c>
      <c r="B86" s="102" t="s">
        <v>170</v>
      </c>
      <c r="C86" s="103">
        <v>0</v>
      </c>
      <c r="D86" s="104">
        <v>0</v>
      </c>
      <c r="E86" s="104">
        <f>C86*D86</f>
        <v>0</v>
      </c>
      <c r="F86" s="105">
        <f t="shared" ref="F86:F92" si="6">E86</f>
        <v>0</v>
      </c>
    </row>
    <row r="87" spans="1:6" ht="23.25" customHeight="1" thickBot="1" x14ac:dyDescent="0.3">
      <c r="A87" s="101">
        <v>4360</v>
      </c>
      <c r="B87" s="102" t="s">
        <v>171</v>
      </c>
      <c r="C87" s="103">
        <v>12</v>
      </c>
      <c r="D87" s="104">
        <f>121.84+75+170</f>
        <v>366.84000000000003</v>
      </c>
      <c r="E87" s="104">
        <f>ROUND(C87*D87,0)</f>
        <v>4402</v>
      </c>
      <c r="F87" s="105">
        <f t="shared" si="6"/>
        <v>4402</v>
      </c>
    </row>
    <row r="88" spans="1:6" ht="35.25" customHeight="1" thickBot="1" x14ac:dyDescent="0.3">
      <c r="A88" s="101">
        <v>4410</v>
      </c>
      <c r="B88" s="102" t="s">
        <v>172</v>
      </c>
      <c r="C88" s="103">
        <v>1</v>
      </c>
      <c r="D88" s="104">
        <v>3000</v>
      </c>
      <c r="E88" s="104">
        <f>C88*D88</f>
        <v>3000</v>
      </c>
      <c r="F88" s="105">
        <f t="shared" si="6"/>
        <v>3000</v>
      </c>
    </row>
    <row r="89" spans="1:6" ht="24.75" customHeight="1" thickBot="1" x14ac:dyDescent="0.3">
      <c r="A89" s="71">
        <v>4430</v>
      </c>
      <c r="B89" s="112" t="s">
        <v>275</v>
      </c>
      <c r="C89" s="113">
        <v>1</v>
      </c>
      <c r="D89" s="114">
        <f>5000+400+2706.33</f>
        <v>8106.33</v>
      </c>
      <c r="E89" s="114">
        <f>C89*D89</f>
        <v>8106.33</v>
      </c>
      <c r="F89" s="75">
        <f t="shared" si="6"/>
        <v>8106.33</v>
      </c>
    </row>
    <row r="90" spans="1:6" ht="23.25" customHeight="1" thickBot="1" x14ac:dyDescent="0.3">
      <c r="A90" s="101">
        <v>4440</v>
      </c>
      <c r="B90" s="102" t="s">
        <v>173</v>
      </c>
      <c r="C90" s="103">
        <v>1</v>
      </c>
      <c r="D90" s="104">
        <f>131463+192079</f>
        <v>323542</v>
      </c>
      <c r="E90" s="104">
        <f>C90*D90</f>
        <v>323542</v>
      </c>
      <c r="F90" s="105">
        <f t="shared" si="6"/>
        <v>323542</v>
      </c>
    </row>
    <row r="91" spans="1:6" ht="32.25" customHeight="1" thickBot="1" x14ac:dyDescent="0.3">
      <c r="A91" s="101">
        <v>4700</v>
      </c>
      <c r="B91" s="115" t="s">
        <v>248</v>
      </c>
      <c r="C91" s="103">
        <v>1</v>
      </c>
      <c r="D91" s="104">
        <f>1000+2000+2300</f>
        <v>5300</v>
      </c>
      <c r="E91" s="104">
        <f>C91*D91</f>
        <v>5300</v>
      </c>
      <c r="F91" s="105">
        <f t="shared" si="6"/>
        <v>5300</v>
      </c>
    </row>
    <row r="92" spans="1:6" ht="47.25" customHeight="1" x14ac:dyDescent="0.25">
      <c r="A92" s="388">
        <v>4710</v>
      </c>
      <c r="B92" s="84" t="s">
        <v>175</v>
      </c>
      <c r="C92" s="116"/>
      <c r="D92" s="87"/>
      <c r="E92" s="87">
        <f>SUM(E93:E100)</f>
        <v>7344</v>
      </c>
      <c r="F92" s="391">
        <f t="shared" si="6"/>
        <v>7344</v>
      </c>
    </row>
    <row r="93" spans="1:6" ht="27.75" customHeight="1" x14ac:dyDescent="0.25">
      <c r="A93" s="389"/>
      <c r="B93" s="72" t="s">
        <v>176</v>
      </c>
      <c r="C93" s="73">
        <v>12</v>
      </c>
      <c r="D93" s="74">
        <f>10.5+20</f>
        <v>30.5</v>
      </c>
      <c r="E93" s="117">
        <f>ROUND((C93*D93),0)</f>
        <v>366</v>
      </c>
      <c r="F93" s="392"/>
    </row>
    <row r="94" spans="1:6" ht="36.75" customHeight="1" x14ac:dyDescent="0.25">
      <c r="A94" s="389"/>
      <c r="B94" s="72" t="s">
        <v>177</v>
      </c>
      <c r="C94" s="73">
        <v>12</v>
      </c>
      <c r="D94" s="74">
        <v>91</v>
      </c>
      <c r="E94" s="117">
        <f t="shared" ref="E94:E101" si="7">ROUND((C94*D94),0)</f>
        <v>1092</v>
      </c>
      <c r="F94" s="392"/>
    </row>
    <row r="95" spans="1:6" ht="33" customHeight="1" x14ac:dyDescent="0.25">
      <c r="A95" s="389"/>
      <c r="B95" s="72" t="s">
        <v>249</v>
      </c>
      <c r="C95" s="73">
        <v>1</v>
      </c>
      <c r="D95" s="74">
        <v>90</v>
      </c>
      <c r="E95" s="117">
        <f t="shared" si="7"/>
        <v>90</v>
      </c>
      <c r="F95" s="392"/>
    </row>
    <row r="96" spans="1:6" x14ac:dyDescent="0.25">
      <c r="A96" s="389"/>
      <c r="B96" s="72" t="s">
        <v>178</v>
      </c>
      <c r="C96" s="73">
        <v>12</v>
      </c>
      <c r="D96" s="74">
        <f>231+132</f>
        <v>363</v>
      </c>
      <c r="E96" s="117">
        <f t="shared" si="7"/>
        <v>4356</v>
      </c>
      <c r="F96" s="392"/>
    </row>
    <row r="97" spans="1:10" x14ac:dyDescent="0.25">
      <c r="A97" s="389"/>
      <c r="B97" s="72" t="s">
        <v>250</v>
      </c>
      <c r="C97" s="73">
        <v>12</v>
      </c>
      <c r="D97" s="74">
        <f>44+11</f>
        <v>55</v>
      </c>
      <c r="E97" s="117">
        <f t="shared" si="7"/>
        <v>660</v>
      </c>
      <c r="F97" s="392"/>
    </row>
    <row r="98" spans="1:10" x14ac:dyDescent="0.25">
      <c r="A98" s="389"/>
      <c r="B98" s="72" t="s">
        <v>179</v>
      </c>
      <c r="C98" s="73">
        <v>1</v>
      </c>
      <c r="D98" s="74">
        <f>80+100</f>
        <v>180</v>
      </c>
      <c r="E98" s="117">
        <f t="shared" si="7"/>
        <v>180</v>
      </c>
      <c r="F98" s="392"/>
    </row>
    <row r="99" spans="1:10" x14ac:dyDescent="0.25">
      <c r="A99" s="389"/>
      <c r="B99" s="72" t="s">
        <v>251</v>
      </c>
      <c r="C99" s="73">
        <v>1</v>
      </c>
      <c r="D99" s="74">
        <f>150+300</f>
        <v>450</v>
      </c>
      <c r="E99" s="117">
        <f t="shared" si="7"/>
        <v>450</v>
      </c>
      <c r="F99" s="392"/>
    </row>
    <row r="100" spans="1:10" ht="15.75" thickBot="1" x14ac:dyDescent="0.3">
      <c r="A100" s="390"/>
      <c r="B100" s="72" t="s">
        <v>180</v>
      </c>
      <c r="C100" s="73">
        <v>1</v>
      </c>
      <c r="D100" s="74">
        <f>100+50</f>
        <v>150</v>
      </c>
      <c r="E100" s="117">
        <f t="shared" si="7"/>
        <v>150</v>
      </c>
      <c r="F100" s="393"/>
    </row>
    <row r="101" spans="1:10" ht="26.25" thickBot="1" x14ac:dyDescent="0.3">
      <c r="A101" s="101">
        <v>4750</v>
      </c>
      <c r="B101" s="102" t="s">
        <v>181</v>
      </c>
      <c r="C101" s="103">
        <v>0</v>
      </c>
      <c r="D101" s="104">
        <v>0</v>
      </c>
      <c r="E101" s="117">
        <f t="shared" si="7"/>
        <v>0</v>
      </c>
      <c r="F101" s="105">
        <f>E101</f>
        <v>0</v>
      </c>
    </row>
    <row r="102" spans="1:10" x14ac:dyDescent="0.25">
      <c r="A102" s="388">
        <v>4790</v>
      </c>
      <c r="B102" s="118" t="s">
        <v>39</v>
      </c>
      <c r="C102" s="58"/>
      <c r="D102" s="59"/>
      <c r="E102" s="59">
        <f>SUM(E103:E110)</f>
        <v>3724070</v>
      </c>
      <c r="F102" s="391">
        <f>E102</f>
        <v>3724070</v>
      </c>
      <c r="H102" s="178"/>
      <c r="I102" s="165"/>
      <c r="J102" s="179"/>
    </row>
    <row r="103" spans="1:10" x14ac:dyDescent="0.25">
      <c r="A103" s="389"/>
      <c r="B103" s="119" t="s">
        <v>182</v>
      </c>
      <c r="C103" s="73">
        <v>12</v>
      </c>
      <c r="D103" s="74">
        <f>111875+131718</f>
        <v>243593</v>
      </c>
      <c r="E103" s="74">
        <f>C103*D103</f>
        <v>2923116</v>
      </c>
      <c r="F103" s="392"/>
      <c r="H103" s="178"/>
      <c r="I103" s="165"/>
      <c r="J103" s="179"/>
    </row>
    <row r="104" spans="1:10" x14ac:dyDescent="0.25">
      <c r="A104" s="389"/>
      <c r="B104" s="119" t="s">
        <v>183</v>
      </c>
      <c r="C104" s="88">
        <v>0.01</v>
      </c>
      <c r="D104" s="76">
        <f>(E103+E105+E109+E110)</f>
        <v>3568386</v>
      </c>
      <c r="E104" s="74">
        <f>ROUND(C104*D104,0)</f>
        <v>35684</v>
      </c>
      <c r="F104" s="392"/>
      <c r="H104" s="178"/>
      <c r="I104" s="165"/>
      <c r="J104" s="179"/>
    </row>
    <row r="105" spans="1:10" ht="25.5" customHeight="1" x14ac:dyDescent="0.25">
      <c r="A105" s="389"/>
      <c r="B105" s="120" t="s">
        <v>184</v>
      </c>
      <c r="C105" s="73">
        <v>12</v>
      </c>
      <c r="D105" s="74">
        <f>15950+7160</f>
        <v>23110</v>
      </c>
      <c r="E105" s="74">
        <f t="shared" ref="E105:E113" si="8">C105*D105</f>
        <v>277320</v>
      </c>
      <c r="F105" s="392"/>
      <c r="H105" s="178"/>
      <c r="I105" s="165"/>
      <c r="J105" s="179"/>
    </row>
    <row r="106" spans="1:10" ht="21.75" customHeight="1" x14ac:dyDescent="0.25">
      <c r="A106" s="389"/>
      <c r="B106" s="108"/>
      <c r="C106" s="73"/>
      <c r="D106" s="74"/>
      <c r="E106" s="74">
        <f>ROUND(C106*D106,0)</f>
        <v>0</v>
      </c>
      <c r="F106" s="392"/>
      <c r="H106" s="178"/>
      <c r="I106" s="165"/>
      <c r="J106" s="179"/>
    </row>
    <row r="107" spans="1:10" ht="22.5" customHeight="1" x14ac:dyDescent="0.25">
      <c r="A107" s="389"/>
      <c r="B107" s="72"/>
      <c r="C107" s="73"/>
      <c r="D107" s="74"/>
      <c r="E107" s="74">
        <f t="shared" si="8"/>
        <v>0</v>
      </c>
      <c r="F107" s="392"/>
      <c r="H107" s="178"/>
      <c r="I107" s="165"/>
      <c r="J107" s="179"/>
    </row>
    <row r="108" spans="1:10" ht="18" customHeight="1" x14ac:dyDescent="0.25">
      <c r="A108" s="389"/>
      <c r="B108" s="72" t="s">
        <v>185</v>
      </c>
      <c r="C108" s="73">
        <v>1</v>
      </c>
      <c r="D108" s="74">
        <f>50000+70000</f>
        <v>120000</v>
      </c>
      <c r="E108" s="74">
        <f t="shared" si="8"/>
        <v>120000</v>
      </c>
      <c r="F108" s="392"/>
      <c r="H108" s="178"/>
      <c r="I108" s="165"/>
      <c r="J108" s="179"/>
    </row>
    <row r="109" spans="1:10" ht="22.5" customHeight="1" x14ac:dyDescent="0.25">
      <c r="A109" s="389"/>
      <c r="B109" s="121" t="s">
        <v>202</v>
      </c>
      <c r="C109" s="73">
        <v>1</v>
      </c>
      <c r="D109" s="74">
        <f>60000+89430</f>
        <v>149430</v>
      </c>
      <c r="E109" s="74">
        <f>C109*D109</f>
        <v>149430</v>
      </c>
      <c r="F109" s="392"/>
      <c r="H109" s="178"/>
      <c r="I109" s="165"/>
      <c r="J109" s="166"/>
    </row>
    <row r="110" spans="1:10" ht="25.5" customHeight="1" thickBot="1" x14ac:dyDescent="0.3">
      <c r="A110" s="390"/>
      <c r="B110" s="121" t="s">
        <v>143</v>
      </c>
      <c r="C110" s="73">
        <v>1</v>
      </c>
      <c r="D110" s="74">
        <f>92350+126170</f>
        <v>218520</v>
      </c>
      <c r="E110" s="74">
        <f t="shared" si="8"/>
        <v>218520</v>
      </c>
      <c r="F110" s="393"/>
      <c r="H110" s="178"/>
      <c r="I110" s="165"/>
      <c r="J110" s="179"/>
    </row>
    <row r="111" spans="1:10" ht="19.5" customHeight="1" thickBot="1" x14ac:dyDescent="0.3">
      <c r="A111" s="101">
        <v>4800</v>
      </c>
      <c r="B111" s="115" t="s">
        <v>101</v>
      </c>
      <c r="C111" s="103">
        <v>1</v>
      </c>
      <c r="D111" s="104">
        <f>120000+132000</f>
        <v>252000</v>
      </c>
      <c r="E111" s="104">
        <f>C111*D111</f>
        <v>252000</v>
      </c>
      <c r="F111" s="105">
        <f>E111</f>
        <v>252000</v>
      </c>
      <c r="H111" s="190"/>
      <c r="I111" s="190"/>
      <c r="J111" s="179"/>
    </row>
    <row r="112" spans="1:10" ht="39" customHeight="1" thickBot="1" x14ac:dyDescent="0.3">
      <c r="A112" s="101">
        <v>4850</v>
      </c>
      <c r="B112" s="115" t="s">
        <v>186</v>
      </c>
      <c r="C112" s="103">
        <v>0</v>
      </c>
      <c r="D112" s="104">
        <v>0</v>
      </c>
      <c r="E112" s="104">
        <f t="shared" si="8"/>
        <v>0</v>
      </c>
      <c r="F112" s="105">
        <f>E112</f>
        <v>0</v>
      </c>
    </row>
    <row r="113" spans="1:13" ht="25.5" customHeight="1" thickBot="1" x14ac:dyDescent="0.3">
      <c r="A113" s="78">
        <v>4860</v>
      </c>
      <c r="B113" s="122" t="s">
        <v>187</v>
      </c>
      <c r="C113" s="123">
        <v>0</v>
      </c>
      <c r="D113" s="124">
        <v>0</v>
      </c>
      <c r="E113" s="124">
        <f t="shared" si="8"/>
        <v>0</v>
      </c>
      <c r="F113" s="83">
        <f>E113</f>
        <v>0</v>
      </c>
    </row>
    <row r="114" spans="1:13" ht="18.75" customHeight="1" x14ac:dyDescent="0.25">
      <c r="A114" s="125"/>
      <c r="B114" s="126"/>
      <c r="C114" s="127"/>
      <c r="D114" s="128"/>
      <c r="E114" s="129"/>
      <c r="F114" s="130"/>
    </row>
    <row r="115" spans="1:13" ht="27" customHeight="1" thickBot="1" x14ac:dyDescent="0.3">
      <c r="A115" s="173">
        <v>801</v>
      </c>
      <c r="B115" s="174" t="s">
        <v>252</v>
      </c>
      <c r="C115" s="191"/>
      <c r="D115" s="192"/>
      <c r="E115" s="176">
        <f>E116+E120+E127+E138+E148+E149+E152+E154+E155+E158+E159+E166+E175+E128</f>
        <v>2378619.92</v>
      </c>
      <c r="F115" s="177">
        <f>SUM(F116:F175)</f>
        <v>2378619.92</v>
      </c>
      <c r="G115" s="48"/>
      <c r="H115" s="193"/>
      <c r="I115" s="49"/>
      <c r="J115" s="193"/>
      <c r="K115" s="193"/>
      <c r="L115" s="193"/>
      <c r="M115" s="193"/>
    </row>
    <row r="116" spans="1:13" ht="24" customHeight="1" x14ac:dyDescent="0.25">
      <c r="A116" s="388">
        <v>3020</v>
      </c>
      <c r="B116" s="67" t="s">
        <v>253</v>
      </c>
      <c r="C116" s="194"/>
      <c r="D116" s="195"/>
      <c r="E116" s="59">
        <f>SUM(E117:E119)</f>
        <v>69888.12</v>
      </c>
      <c r="F116" s="391">
        <f>E116</f>
        <v>69888.12</v>
      </c>
      <c r="G116" s="48"/>
      <c r="H116" s="193"/>
      <c r="I116" s="49"/>
      <c r="J116" s="193"/>
      <c r="K116" s="193"/>
      <c r="L116" s="193"/>
      <c r="M116" s="193"/>
    </row>
    <row r="117" spans="1:13" ht="21.75" customHeight="1" x14ac:dyDescent="0.25">
      <c r="A117" s="389"/>
      <c r="B117" s="72" t="s">
        <v>134</v>
      </c>
      <c r="C117" s="196">
        <v>12</v>
      </c>
      <c r="D117" s="197">
        <f>4454.01+1370</f>
        <v>5824.01</v>
      </c>
      <c r="E117" s="74">
        <f>C117*D117</f>
        <v>69888.12</v>
      </c>
      <c r="F117" s="392"/>
      <c r="G117" s="198"/>
      <c r="H117" s="199"/>
      <c r="I117" s="200"/>
      <c r="J117" s="199"/>
      <c r="K117" s="199"/>
      <c r="L117" s="199"/>
      <c r="M117" s="199"/>
    </row>
    <row r="118" spans="1:13" ht="27" customHeight="1" x14ac:dyDescent="0.25">
      <c r="A118" s="389"/>
      <c r="B118" s="77"/>
      <c r="C118" s="196"/>
      <c r="D118" s="197"/>
      <c r="E118" s="74">
        <f>ROUND(C118*D118,0)</f>
        <v>0</v>
      </c>
      <c r="F118" s="392"/>
      <c r="G118" s="198"/>
      <c r="H118" s="199"/>
      <c r="I118" s="200"/>
      <c r="J118" s="199"/>
      <c r="K118" s="199"/>
      <c r="L118" s="199"/>
      <c r="M118" s="199"/>
    </row>
    <row r="119" spans="1:13" ht="15.75" thickBot="1" x14ac:dyDescent="0.3">
      <c r="A119" s="390"/>
      <c r="B119" s="79"/>
      <c r="C119" s="201"/>
      <c r="D119" s="202"/>
      <c r="E119" s="82">
        <f>C119*D119</f>
        <v>0</v>
      </c>
      <c r="F119" s="393"/>
      <c r="G119" s="198"/>
      <c r="H119" s="199"/>
      <c r="I119" s="200"/>
      <c r="J119" s="199"/>
      <c r="K119" s="199"/>
      <c r="L119" s="199"/>
      <c r="M119" s="199"/>
    </row>
    <row r="120" spans="1:13" ht="29.25" customHeight="1" x14ac:dyDescent="0.25">
      <c r="A120" s="388">
        <v>4010</v>
      </c>
      <c r="B120" s="67" t="s">
        <v>254</v>
      </c>
      <c r="C120" s="203"/>
      <c r="D120" s="204"/>
      <c r="E120" s="59">
        <f>SUM(E121:E126)</f>
        <v>491891</v>
      </c>
      <c r="F120" s="391">
        <f>E120</f>
        <v>491891</v>
      </c>
      <c r="G120" s="48"/>
      <c r="H120" s="193"/>
      <c r="I120" s="49"/>
      <c r="J120" s="193"/>
      <c r="K120" s="193"/>
      <c r="L120" s="193"/>
      <c r="M120" s="193"/>
    </row>
    <row r="121" spans="1:13" ht="27" customHeight="1" x14ac:dyDescent="0.25">
      <c r="A121" s="389"/>
      <c r="B121" s="72" t="s">
        <v>138</v>
      </c>
      <c r="C121" s="196">
        <v>12</v>
      </c>
      <c r="D121" s="197">
        <f>32564.95+6721</f>
        <v>39285.949999999997</v>
      </c>
      <c r="E121" s="117">
        <f>ROUND((C121*D121),0)</f>
        <v>471431</v>
      </c>
      <c r="F121" s="392"/>
      <c r="G121" s="205"/>
      <c r="H121" s="206"/>
      <c r="I121" s="206"/>
      <c r="J121" s="207"/>
      <c r="K121" s="207"/>
      <c r="L121" s="207"/>
      <c r="M121" s="207"/>
    </row>
    <row r="122" spans="1:13" x14ac:dyDescent="0.25">
      <c r="A122" s="389"/>
      <c r="B122" s="72" t="s">
        <v>139</v>
      </c>
      <c r="C122" s="208">
        <v>0</v>
      </c>
      <c r="D122" s="209">
        <f>E121+E125+E126</f>
        <v>491891</v>
      </c>
      <c r="E122" s="117">
        <f>ROUND(C122*D122,0)</f>
        <v>0</v>
      </c>
      <c r="F122" s="392"/>
      <c r="G122" s="205"/>
      <c r="H122" s="206"/>
      <c r="I122" s="206"/>
      <c r="J122" s="207"/>
      <c r="K122" s="207"/>
      <c r="L122" s="207"/>
      <c r="M122" s="207"/>
    </row>
    <row r="123" spans="1:13" ht="18.75" customHeight="1" x14ac:dyDescent="0.25">
      <c r="A123" s="389"/>
      <c r="B123" s="72"/>
      <c r="C123" s="196"/>
      <c r="D123" s="197"/>
      <c r="E123" s="117">
        <f>ROUND((C123*D123),0)</f>
        <v>0</v>
      </c>
      <c r="F123" s="392"/>
      <c r="G123" s="205"/>
      <c r="H123" s="207"/>
      <c r="I123" s="206"/>
      <c r="J123" s="207"/>
      <c r="K123" s="207"/>
      <c r="L123" s="207"/>
      <c r="M123" s="207"/>
    </row>
    <row r="124" spans="1:13" ht="24.75" customHeight="1" x14ac:dyDescent="0.25">
      <c r="A124" s="389"/>
      <c r="B124" s="72"/>
      <c r="C124" s="196"/>
      <c r="D124" s="197"/>
      <c r="E124" s="117">
        <f>ROUND((C124*D124),0)</f>
        <v>0</v>
      </c>
      <c r="F124" s="392"/>
      <c r="G124" s="205"/>
      <c r="H124" s="207"/>
      <c r="I124" s="206"/>
      <c r="J124" s="207"/>
      <c r="K124" s="207"/>
      <c r="L124" s="207"/>
      <c r="M124" s="207"/>
    </row>
    <row r="125" spans="1:13" ht="21" customHeight="1" x14ac:dyDescent="0.25">
      <c r="A125" s="389"/>
      <c r="B125" s="72" t="s">
        <v>142</v>
      </c>
      <c r="C125" s="196">
        <v>1</v>
      </c>
      <c r="D125" s="197">
        <v>20460</v>
      </c>
      <c r="E125" s="117">
        <f>ROUND((C125*D125),0)</f>
        <v>20460</v>
      </c>
      <c r="F125" s="392"/>
      <c r="G125" s="205"/>
      <c r="H125" s="207"/>
      <c r="I125" s="206"/>
      <c r="J125" s="207"/>
      <c r="K125" s="207"/>
      <c r="L125" s="207"/>
      <c r="M125" s="207"/>
    </row>
    <row r="126" spans="1:13" ht="20.25" customHeight="1" thickBot="1" x14ac:dyDescent="0.3">
      <c r="A126" s="390"/>
      <c r="B126" s="90" t="s">
        <v>143</v>
      </c>
      <c r="C126" s="201">
        <v>1</v>
      </c>
      <c r="D126" s="202">
        <v>0</v>
      </c>
      <c r="E126" s="210">
        <f>ROUND((C126*D126),)</f>
        <v>0</v>
      </c>
      <c r="F126" s="393"/>
      <c r="G126" s="205"/>
      <c r="H126" s="207"/>
      <c r="I126" s="206"/>
      <c r="J126" s="207"/>
      <c r="K126" s="207"/>
      <c r="L126" s="207"/>
      <c r="M126" s="207"/>
    </row>
    <row r="127" spans="1:13" ht="17.25" customHeight="1" thickBot="1" x14ac:dyDescent="0.3">
      <c r="A127" s="71">
        <v>4040</v>
      </c>
      <c r="B127" s="112" t="s">
        <v>144</v>
      </c>
      <c r="C127" s="211">
        <v>1</v>
      </c>
      <c r="D127" s="212">
        <f>5000+25900</f>
        <v>30900</v>
      </c>
      <c r="E127" s="114">
        <f>C127*D127</f>
        <v>30900</v>
      </c>
      <c r="F127" s="75">
        <f>E127</f>
        <v>30900</v>
      </c>
      <c r="G127" s="48"/>
      <c r="H127" s="49"/>
      <c r="I127" s="49"/>
      <c r="J127" s="193"/>
      <c r="K127" s="193"/>
      <c r="L127" s="193"/>
      <c r="M127" s="193"/>
    </row>
    <row r="128" spans="1:13" ht="21" customHeight="1" x14ac:dyDescent="0.25">
      <c r="A128" s="388">
        <v>4110</v>
      </c>
      <c r="B128" s="67" t="s">
        <v>124</v>
      </c>
      <c r="C128" s="203"/>
      <c r="D128" s="204"/>
      <c r="E128" s="59">
        <f>SUM(E129:E137)</f>
        <v>305402</v>
      </c>
      <c r="F128" s="391">
        <f>E128</f>
        <v>305402</v>
      </c>
      <c r="G128" s="48"/>
      <c r="H128" s="213"/>
      <c r="I128" s="49"/>
      <c r="J128" s="193"/>
      <c r="K128" s="193"/>
      <c r="L128" s="193"/>
      <c r="M128" s="193"/>
    </row>
    <row r="129" spans="1:13" ht="28.5" customHeight="1" x14ac:dyDescent="0.25">
      <c r="A129" s="389"/>
      <c r="B129" s="72" t="s">
        <v>145</v>
      </c>
      <c r="C129" s="196">
        <v>12</v>
      </c>
      <c r="D129" s="209">
        <f>765.64+240.57</f>
        <v>1006.21</v>
      </c>
      <c r="E129" s="74">
        <f t="shared" ref="E129:E137" si="9">ROUND(C129*D129,0)</f>
        <v>12075</v>
      </c>
      <c r="F129" s="392"/>
      <c r="G129" s="198"/>
      <c r="H129" s="180"/>
      <c r="I129" s="200"/>
      <c r="J129" s="199"/>
      <c r="K129" s="199"/>
      <c r="L129" s="199"/>
      <c r="M129" s="199"/>
    </row>
    <row r="130" spans="1:13" x14ac:dyDescent="0.25">
      <c r="A130" s="389"/>
      <c r="B130" s="72" t="s">
        <v>146</v>
      </c>
      <c r="C130" s="196">
        <v>12</v>
      </c>
      <c r="D130" s="209">
        <f>1180.21+5597.91</f>
        <v>6778.12</v>
      </c>
      <c r="E130" s="74">
        <f t="shared" si="9"/>
        <v>81337</v>
      </c>
      <c r="F130" s="392"/>
      <c r="G130" s="198"/>
      <c r="H130" s="180"/>
      <c r="I130" s="200"/>
      <c r="J130" s="199"/>
      <c r="K130" s="199"/>
      <c r="L130" s="199"/>
      <c r="M130" s="199"/>
    </row>
    <row r="131" spans="1:13" ht="36" customHeight="1" x14ac:dyDescent="0.25">
      <c r="A131" s="389"/>
      <c r="B131" s="72" t="s">
        <v>147</v>
      </c>
      <c r="C131" s="196">
        <v>12</v>
      </c>
      <c r="D131" s="209">
        <f>3073+10724.39</f>
        <v>13797.39</v>
      </c>
      <c r="E131" s="74">
        <f t="shared" si="9"/>
        <v>165569</v>
      </c>
      <c r="F131" s="392"/>
      <c r="G131" s="198"/>
      <c r="H131" s="180"/>
      <c r="I131" s="200"/>
      <c r="J131" s="199"/>
      <c r="K131" s="199"/>
      <c r="L131" s="199"/>
      <c r="M131" s="199"/>
    </row>
    <row r="132" spans="1:13" ht="25.5" customHeight="1" x14ac:dyDescent="0.25">
      <c r="A132" s="389"/>
      <c r="B132" s="72" t="s">
        <v>148</v>
      </c>
      <c r="C132" s="196">
        <v>12</v>
      </c>
      <c r="D132" s="209">
        <f>560.16+1230.8</f>
        <v>1790.96</v>
      </c>
      <c r="E132" s="74">
        <f t="shared" si="9"/>
        <v>21492</v>
      </c>
      <c r="F132" s="392"/>
      <c r="G132" s="198"/>
      <c r="H132" s="180"/>
      <c r="I132" s="200"/>
      <c r="J132" s="199"/>
      <c r="K132" s="199"/>
      <c r="L132" s="199"/>
      <c r="M132" s="199"/>
    </row>
    <row r="133" spans="1:13" ht="29.25" customHeight="1" x14ac:dyDescent="0.25">
      <c r="A133" s="389"/>
      <c r="B133" s="72" t="s">
        <v>255</v>
      </c>
      <c r="C133" s="196">
        <v>1</v>
      </c>
      <c r="D133" s="209">
        <f>436.01+1611.39</f>
        <v>2047.4</v>
      </c>
      <c r="E133" s="74">
        <f t="shared" si="9"/>
        <v>2047</v>
      </c>
      <c r="F133" s="392"/>
      <c r="G133" s="198"/>
      <c r="H133" s="180"/>
      <c r="I133" s="200"/>
      <c r="J133" s="199"/>
      <c r="K133" s="199"/>
      <c r="L133" s="199"/>
      <c r="M133" s="199"/>
    </row>
    <row r="134" spans="1:13" x14ac:dyDescent="0.25">
      <c r="A134" s="389"/>
      <c r="B134" s="72"/>
      <c r="C134" s="196"/>
      <c r="D134" s="197"/>
      <c r="E134" s="74">
        <f t="shared" si="9"/>
        <v>0</v>
      </c>
      <c r="F134" s="392"/>
      <c r="G134" s="198"/>
      <c r="H134" s="180"/>
      <c r="I134" s="200"/>
      <c r="J134" s="199"/>
      <c r="K134" s="199"/>
      <c r="L134" s="199"/>
      <c r="M134" s="199"/>
    </row>
    <row r="135" spans="1:13" ht="27.75" customHeight="1" x14ac:dyDescent="0.25">
      <c r="A135" s="389"/>
      <c r="B135" s="72" t="s">
        <v>150</v>
      </c>
      <c r="C135" s="196">
        <v>10</v>
      </c>
      <c r="D135" s="214">
        <f>D148*H3</f>
        <v>0</v>
      </c>
      <c r="E135" s="74">
        <f t="shared" si="9"/>
        <v>0</v>
      </c>
      <c r="F135" s="392"/>
      <c r="G135" s="198"/>
      <c r="H135" s="180"/>
      <c r="I135" s="200"/>
      <c r="J135" s="199"/>
      <c r="K135" s="199"/>
      <c r="L135" s="199"/>
      <c r="M135" s="199"/>
    </row>
    <row r="136" spans="1:13" ht="24.75" customHeight="1" x14ac:dyDescent="0.25">
      <c r="A136" s="389"/>
      <c r="B136" s="72" t="s">
        <v>227</v>
      </c>
      <c r="C136" s="196">
        <v>1</v>
      </c>
      <c r="D136" s="214">
        <f>1756+3695.85</f>
        <v>5451.85</v>
      </c>
      <c r="E136" s="109">
        <f t="shared" si="9"/>
        <v>5452</v>
      </c>
      <c r="F136" s="392"/>
      <c r="G136" s="198"/>
      <c r="H136" s="180"/>
      <c r="I136" s="200"/>
      <c r="J136" s="199"/>
      <c r="K136" s="199"/>
      <c r="L136" s="199"/>
      <c r="M136" s="199"/>
    </row>
    <row r="137" spans="1:13" ht="22.5" customHeight="1" thickBot="1" x14ac:dyDescent="0.3">
      <c r="A137" s="390"/>
      <c r="B137" s="90" t="s">
        <v>151</v>
      </c>
      <c r="C137" s="201">
        <v>1</v>
      </c>
      <c r="D137" s="215">
        <f>13391.01+4038.8</f>
        <v>17429.810000000001</v>
      </c>
      <c r="E137" s="82">
        <f t="shared" si="9"/>
        <v>17430</v>
      </c>
      <c r="F137" s="393"/>
      <c r="G137" s="198"/>
      <c r="H137" s="180"/>
      <c r="I137" s="200"/>
      <c r="J137" s="199"/>
      <c r="K137" s="199"/>
      <c r="L137" s="199"/>
      <c r="M137" s="199"/>
    </row>
    <row r="138" spans="1:13" x14ac:dyDescent="0.25">
      <c r="A138" s="388">
        <v>4120</v>
      </c>
      <c r="B138" s="67" t="s">
        <v>152</v>
      </c>
      <c r="C138" s="203"/>
      <c r="D138" s="204"/>
      <c r="E138" s="59">
        <f>SUM(E139:E147)</f>
        <v>64003</v>
      </c>
      <c r="F138" s="391">
        <f>E138</f>
        <v>64003</v>
      </c>
    </row>
    <row r="139" spans="1:13" ht="21" customHeight="1" x14ac:dyDescent="0.25">
      <c r="A139" s="389"/>
      <c r="B139" s="72" t="s">
        <v>153</v>
      </c>
      <c r="C139" s="196">
        <v>12</v>
      </c>
      <c r="D139" s="209">
        <f>33.57+109.12</f>
        <v>142.69</v>
      </c>
      <c r="E139" s="74">
        <f t="shared" ref="E139:E147" si="10">ROUND(C139*D139,0)</f>
        <v>1712</v>
      </c>
      <c r="F139" s="392"/>
    </row>
    <row r="140" spans="1:13" ht="21.75" customHeight="1" x14ac:dyDescent="0.25">
      <c r="A140" s="389"/>
      <c r="B140" s="72" t="s">
        <v>154</v>
      </c>
      <c r="C140" s="196">
        <v>12</v>
      </c>
      <c r="D140" s="209">
        <f>164.66+797.84</f>
        <v>962.5</v>
      </c>
      <c r="E140" s="74">
        <f t="shared" si="10"/>
        <v>11550</v>
      </c>
      <c r="F140" s="392"/>
    </row>
    <row r="141" spans="1:13" ht="21.75" customHeight="1" x14ac:dyDescent="0.25">
      <c r="A141" s="389"/>
      <c r="B141" s="72" t="s">
        <v>155</v>
      </c>
      <c r="C141" s="196">
        <v>12</v>
      </c>
      <c r="D141" s="209">
        <f>(D167*H3)+1528.49</f>
        <v>3485.7312999999999</v>
      </c>
      <c r="E141" s="74">
        <f t="shared" si="10"/>
        <v>41829</v>
      </c>
      <c r="F141" s="392"/>
    </row>
    <row r="142" spans="1:13" ht="21" customHeight="1" x14ac:dyDescent="0.25">
      <c r="A142" s="389"/>
      <c r="B142" s="72" t="s">
        <v>156</v>
      </c>
      <c r="C142" s="196">
        <v>12</v>
      </c>
      <c r="D142" s="209">
        <f>(D169*H3)+175.42</f>
        <v>428.995</v>
      </c>
      <c r="E142" s="74">
        <f t="shared" si="10"/>
        <v>5148</v>
      </c>
      <c r="F142" s="392"/>
    </row>
    <row r="143" spans="1:13" ht="27" customHeight="1" x14ac:dyDescent="0.25">
      <c r="A143" s="389"/>
      <c r="B143" s="72" t="s">
        <v>256</v>
      </c>
      <c r="C143" s="196">
        <v>1</v>
      </c>
      <c r="D143" s="209">
        <f>(E122+E168)*H3+229.66</f>
        <v>520.15650000000005</v>
      </c>
      <c r="E143" s="74">
        <f t="shared" si="10"/>
        <v>520</v>
      </c>
      <c r="F143" s="392"/>
    </row>
    <row r="144" spans="1:13" ht="24.75" customHeight="1" x14ac:dyDescent="0.25">
      <c r="A144" s="389"/>
      <c r="B144" s="72"/>
      <c r="C144" s="196"/>
      <c r="D144" s="197"/>
      <c r="E144" s="74">
        <f t="shared" si="10"/>
        <v>0</v>
      </c>
      <c r="F144" s="392"/>
    </row>
    <row r="145" spans="1:6" ht="18" customHeight="1" x14ac:dyDescent="0.25">
      <c r="A145" s="389"/>
      <c r="B145" s="108" t="s">
        <v>157</v>
      </c>
      <c r="C145" s="216">
        <v>10</v>
      </c>
      <c r="D145" s="217">
        <f>D148*H3</f>
        <v>0</v>
      </c>
      <c r="E145" s="109">
        <f>ROUND(C145*D145,0)</f>
        <v>0</v>
      </c>
      <c r="F145" s="392"/>
    </row>
    <row r="146" spans="1:6" ht="18.75" customHeight="1" x14ac:dyDescent="0.25">
      <c r="A146" s="389"/>
      <c r="B146" s="72" t="s">
        <v>228</v>
      </c>
      <c r="C146" s="196">
        <v>1</v>
      </c>
      <c r="D146" s="214">
        <f>245+526.75</f>
        <v>771.75</v>
      </c>
      <c r="E146" s="74">
        <f>ROUND(C146*D146,0)</f>
        <v>772</v>
      </c>
      <c r="F146" s="392"/>
    </row>
    <row r="147" spans="1:6" ht="29.25" customHeight="1" thickBot="1" x14ac:dyDescent="0.3">
      <c r="A147" s="390"/>
      <c r="B147" s="90" t="s">
        <v>158</v>
      </c>
      <c r="C147" s="201">
        <v>1</v>
      </c>
      <c r="D147" s="219">
        <f>563.5+1908.55</f>
        <v>2472.0500000000002</v>
      </c>
      <c r="E147" s="81">
        <f t="shared" si="10"/>
        <v>2472</v>
      </c>
      <c r="F147" s="393"/>
    </row>
    <row r="148" spans="1:6" ht="18.75" customHeight="1" thickBot="1" x14ac:dyDescent="0.3">
      <c r="A148" s="101">
        <v>4170</v>
      </c>
      <c r="B148" s="102" t="s">
        <v>159</v>
      </c>
      <c r="C148" s="220">
        <v>0</v>
      </c>
      <c r="D148" s="221">
        <v>0</v>
      </c>
      <c r="E148" s="104">
        <f>C148*D148</f>
        <v>0</v>
      </c>
      <c r="F148" s="105">
        <f>E148</f>
        <v>0</v>
      </c>
    </row>
    <row r="149" spans="1:6" ht="29.25" customHeight="1" x14ac:dyDescent="0.25">
      <c r="A149" s="222">
        <v>4210</v>
      </c>
      <c r="B149" s="223" t="s">
        <v>160</v>
      </c>
      <c r="C149" s="224"/>
      <c r="D149" s="225"/>
      <c r="E149" s="226">
        <f>SUM(E150:E151)</f>
        <v>1500</v>
      </c>
      <c r="F149" s="400">
        <f>E149</f>
        <v>1500</v>
      </c>
    </row>
    <row r="150" spans="1:6" ht="21" customHeight="1" x14ac:dyDescent="0.25">
      <c r="A150" s="227"/>
      <c r="B150" s="106" t="s">
        <v>257</v>
      </c>
      <c r="C150" s="228">
        <v>1</v>
      </c>
      <c r="D150" s="229">
        <v>1500</v>
      </c>
      <c r="E150" s="230">
        <f>C150*D150</f>
        <v>1500</v>
      </c>
      <c r="F150" s="401"/>
    </row>
    <row r="151" spans="1:6" ht="24" customHeight="1" thickBot="1" x14ac:dyDescent="0.3">
      <c r="A151" s="231"/>
      <c r="B151" s="232"/>
      <c r="C151" s="233"/>
      <c r="D151" s="234"/>
      <c r="E151" s="230">
        <f>C151*D151</f>
        <v>0</v>
      </c>
      <c r="F151" s="402"/>
    </row>
    <row r="152" spans="1:6" ht="17.25" customHeight="1" x14ac:dyDescent="0.25">
      <c r="A152" s="388">
        <v>4270</v>
      </c>
      <c r="B152" s="93" t="s">
        <v>258</v>
      </c>
      <c r="C152" s="194"/>
      <c r="D152" s="195"/>
      <c r="E152" s="69">
        <f>SUM(E153:E153)</f>
        <v>1000</v>
      </c>
      <c r="F152" s="391">
        <f>E152</f>
        <v>1000</v>
      </c>
    </row>
    <row r="153" spans="1:6" ht="23.25" customHeight="1" thickBot="1" x14ac:dyDescent="0.3">
      <c r="A153" s="390"/>
      <c r="B153" s="79" t="s">
        <v>259</v>
      </c>
      <c r="C153" s="235">
        <v>1</v>
      </c>
      <c r="D153" s="236">
        <v>1000</v>
      </c>
      <c r="E153" s="82">
        <f>C153*D153</f>
        <v>1000</v>
      </c>
      <c r="F153" s="393"/>
    </row>
    <row r="154" spans="1:6" ht="20.25" customHeight="1" thickBot="1" x14ac:dyDescent="0.3">
      <c r="A154" s="66">
        <v>4280</v>
      </c>
      <c r="B154" s="93" t="s">
        <v>36</v>
      </c>
      <c r="C154" s="194">
        <v>1</v>
      </c>
      <c r="D154" s="195">
        <v>300</v>
      </c>
      <c r="E154" s="69">
        <f>C154*D154</f>
        <v>300</v>
      </c>
      <c r="F154" s="70">
        <f>E154</f>
        <v>300</v>
      </c>
    </row>
    <row r="155" spans="1:6" ht="26.25" customHeight="1" x14ac:dyDescent="0.25">
      <c r="A155" s="388">
        <v>4300</v>
      </c>
      <c r="B155" s="93" t="s">
        <v>37</v>
      </c>
      <c r="C155" s="194"/>
      <c r="D155" s="195"/>
      <c r="E155" s="69">
        <f>SUM(E156:E157)</f>
        <v>720</v>
      </c>
      <c r="F155" s="391">
        <f>E155</f>
        <v>720</v>
      </c>
    </row>
    <row r="156" spans="1:6" x14ac:dyDescent="0.25">
      <c r="A156" s="389"/>
      <c r="B156" s="183"/>
      <c r="C156" s="237"/>
      <c r="D156" s="238"/>
      <c r="E156" s="74">
        <f>C156*D156</f>
        <v>0</v>
      </c>
      <c r="F156" s="392"/>
    </row>
    <row r="157" spans="1:6" ht="15.75" thickBot="1" x14ac:dyDescent="0.3">
      <c r="A157" s="390"/>
      <c r="B157" s="79" t="s">
        <v>260</v>
      </c>
      <c r="C157" s="235">
        <v>12</v>
      </c>
      <c r="D157" s="236">
        <v>60</v>
      </c>
      <c r="E157" s="81">
        <f>C157*D157</f>
        <v>720</v>
      </c>
      <c r="F157" s="393"/>
    </row>
    <row r="158" spans="1:6" ht="18" customHeight="1" thickBot="1" x14ac:dyDescent="0.3">
      <c r="A158" s="218">
        <v>4440</v>
      </c>
      <c r="B158" s="239" t="s">
        <v>173</v>
      </c>
      <c r="C158" s="211">
        <v>1</v>
      </c>
      <c r="D158" s="240">
        <f>19662+86599</f>
        <v>106261</v>
      </c>
      <c r="E158" s="114">
        <f>D158*C158</f>
        <v>106261</v>
      </c>
      <c r="F158" s="75">
        <f>E158</f>
        <v>106261</v>
      </c>
    </row>
    <row r="159" spans="1:6" ht="25.5" x14ac:dyDescent="0.25">
      <c r="A159" s="388">
        <v>4710</v>
      </c>
      <c r="B159" s="223" t="s">
        <v>38</v>
      </c>
      <c r="C159" s="194"/>
      <c r="D159" s="195"/>
      <c r="E159" s="69">
        <f>SUM(E160:E165)</f>
        <v>7687</v>
      </c>
      <c r="F159" s="391">
        <f>E159</f>
        <v>7687</v>
      </c>
    </row>
    <row r="160" spans="1:6" ht="30" customHeight="1" x14ac:dyDescent="0.25">
      <c r="A160" s="389"/>
      <c r="B160" s="106" t="s">
        <v>261</v>
      </c>
      <c r="C160" s="196">
        <v>12</v>
      </c>
      <c r="D160" s="197">
        <f>11+20</f>
        <v>31</v>
      </c>
      <c r="E160" s="185">
        <f t="shared" ref="E160:E165" si="11">C160*D160</f>
        <v>372</v>
      </c>
      <c r="F160" s="392"/>
    </row>
    <row r="161" spans="1:6" x14ac:dyDescent="0.25">
      <c r="A161" s="389"/>
      <c r="B161" s="106" t="s">
        <v>262</v>
      </c>
      <c r="C161" s="196">
        <v>12</v>
      </c>
      <c r="D161" s="197">
        <v>440</v>
      </c>
      <c r="E161" s="185">
        <f t="shared" si="11"/>
        <v>5280</v>
      </c>
      <c r="F161" s="392"/>
    </row>
    <row r="162" spans="1:6" ht="22.5" customHeight="1" x14ac:dyDescent="0.25">
      <c r="A162" s="389"/>
      <c r="B162" s="106" t="s">
        <v>263</v>
      </c>
      <c r="C162" s="196">
        <v>12</v>
      </c>
      <c r="D162" s="197">
        <v>105</v>
      </c>
      <c r="E162" s="185">
        <f t="shared" si="11"/>
        <v>1260</v>
      </c>
      <c r="F162" s="392"/>
    </row>
    <row r="163" spans="1:6" ht="33.75" customHeight="1" x14ac:dyDescent="0.25">
      <c r="A163" s="389"/>
      <c r="B163" s="106" t="s">
        <v>264</v>
      </c>
      <c r="C163" s="196">
        <v>1</v>
      </c>
      <c r="D163" s="197">
        <v>75</v>
      </c>
      <c r="E163" s="185">
        <f t="shared" si="11"/>
        <v>75</v>
      </c>
      <c r="F163" s="392"/>
    </row>
    <row r="164" spans="1:6" ht="24.75" customHeight="1" x14ac:dyDescent="0.25">
      <c r="A164" s="389"/>
      <c r="B164" s="106" t="s">
        <v>265</v>
      </c>
      <c r="C164" s="196">
        <v>1</v>
      </c>
      <c r="D164" s="197">
        <v>200</v>
      </c>
      <c r="E164" s="185">
        <f t="shared" si="11"/>
        <v>200</v>
      </c>
      <c r="F164" s="392"/>
    </row>
    <row r="165" spans="1:6" ht="20.25" customHeight="1" thickBot="1" x14ac:dyDescent="0.3">
      <c r="A165" s="390"/>
      <c r="B165" s="241" t="s">
        <v>266</v>
      </c>
      <c r="C165" s="201">
        <v>1</v>
      </c>
      <c r="D165" s="202">
        <v>500</v>
      </c>
      <c r="E165" s="111">
        <f t="shared" si="11"/>
        <v>500</v>
      </c>
      <c r="F165" s="393"/>
    </row>
    <row r="166" spans="1:6" ht="19.5" customHeight="1" x14ac:dyDescent="0.25">
      <c r="A166" s="388">
        <v>4790</v>
      </c>
      <c r="B166" s="118" t="s">
        <v>39</v>
      </c>
      <c r="C166" s="203"/>
      <c r="D166" s="204"/>
      <c r="E166" s="59">
        <f>SUM(E167:E174)</f>
        <v>1229067.7999999998</v>
      </c>
      <c r="F166" s="391">
        <f>E166</f>
        <v>1229067.7999999998</v>
      </c>
    </row>
    <row r="167" spans="1:6" ht="27" customHeight="1" x14ac:dyDescent="0.25">
      <c r="A167" s="389"/>
      <c r="B167" s="119" t="s">
        <v>182</v>
      </c>
      <c r="C167" s="196">
        <v>12</v>
      </c>
      <c r="D167" s="197">
        <f>17500+62387.4</f>
        <v>79887.399999999994</v>
      </c>
      <c r="E167" s="117">
        <f>C167*D167</f>
        <v>958648.79999999993</v>
      </c>
      <c r="F167" s="392"/>
    </row>
    <row r="168" spans="1:6" ht="21.75" customHeight="1" x14ac:dyDescent="0.25">
      <c r="A168" s="389"/>
      <c r="B168" s="119" t="s">
        <v>221</v>
      </c>
      <c r="C168" s="208">
        <v>0.01</v>
      </c>
      <c r="D168" s="209">
        <f>E167+E169+E173+E174</f>
        <v>1185710.7999999998</v>
      </c>
      <c r="E168" s="117">
        <f>ROUND(C168*D168,0)</f>
        <v>11857</v>
      </c>
      <c r="F168" s="392"/>
    </row>
    <row r="169" spans="1:6" ht="21.75" customHeight="1" x14ac:dyDescent="0.25">
      <c r="A169" s="389"/>
      <c r="B169" s="119" t="s">
        <v>184</v>
      </c>
      <c r="C169" s="196">
        <v>12</v>
      </c>
      <c r="D169" s="197">
        <f>3190+7160</f>
        <v>10350</v>
      </c>
      <c r="E169" s="117">
        <f>C169*D169</f>
        <v>124200</v>
      </c>
      <c r="F169" s="392"/>
    </row>
    <row r="170" spans="1:6" ht="21.75" customHeight="1" x14ac:dyDescent="0.25">
      <c r="A170" s="389"/>
      <c r="B170" s="72"/>
      <c r="C170" s="196"/>
      <c r="D170" s="197"/>
      <c r="E170" s="117">
        <f>ROUND(C170*D170,0)</f>
        <v>0</v>
      </c>
      <c r="F170" s="392"/>
    </row>
    <row r="171" spans="1:6" ht="20.25" customHeight="1" x14ac:dyDescent="0.25">
      <c r="A171" s="389"/>
      <c r="B171" s="72"/>
      <c r="C171" s="196"/>
      <c r="D171" s="197"/>
      <c r="E171" s="117">
        <f>ROUND(C171*D171,0)</f>
        <v>0</v>
      </c>
      <c r="F171" s="392"/>
    </row>
    <row r="172" spans="1:6" ht="16.5" customHeight="1" x14ac:dyDescent="0.25">
      <c r="A172" s="389"/>
      <c r="B172" s="72" t="s">
        <v>267</v>
      </c>
      <c r="C172" s="196">
        <v>1</v>
      </c>
      <c r="D172" s="197">
        <v>31500</v>
      </c>
      <c r="E172" s="117">
        <f>ROUND(C172*D172,0)</f>
        <v>31500</v>
      </c>
      <c r="F172" s="392"/>
    </row>
    <row r="173" spans="1:6" ht="18.75" customHeight="1" x14ac:dyDescent="0.25">
      <c r="A173" s="389"/>
      <c r="B173" s="119" t="s">
        <v>202</v>
      </c>
      <c r="C173" s="196">
        <v>1</v>
      </c>
      <c r="D173" s="197">
        <v>47400</v>
      </c>
      <c r="E173" s="117">
        <f>ROUND(C173*D173,0)</f>
        <v>47400</v>
      </c>
      <c r="F173" s="392"/>
    </row>
    <row r="174" spans="1:6" ht="21" customHeight="1" thickBot="1" x14ac:dyDescent="0.3">
      <c r="A174" s="390"/>
      <c r="B174" s="242" t="s">
        <v>209</v>
      </c>
      <c r="C174" s="235">
        <v>1</v>
      </c>
      <c r="D174" s="236">
        <v>55462</v>
      </c>
      <c r="E174" s="210">
        <f>C174*D174</f>
        <v>55462</v>
      </c>
      <c r="F174" s="393"/>
    </row>
    <row r="175" spans="1:6" ht="18.75" customHeight="1" thickBot="1" x14ac:dyDescent="0.3">
      <c r="A175" s="101">
        <v>4800</v>
      </c>
      <c r="B175" s="115" t="s">
        <v>101</v>
      </c>
      <c r="C175" s="220">
        <v>1</v>
      </c>
      <c r="D175" s="221">
        <v>70000</v>
      </c>
      <c r="E175" s="104">
        <f>C175*D175</f>
        <v>70000</v>
      </c>
      <c r="F175" s="105">
        <f>E175</f>
        <v>70000</v>
      </c>
    </row>
    <row r="176" spans="1:6" ht="21" customHeight="1" x14ac:dyDescent="0.25">
      <c r="A176" s="404"/>
      <c r="B176" s="405"/>
      <c r="C176" s="405"/>
      <c r="D176" s="405"/>
      <c r="E176" s="405"/>
      <c r="F176" s="406"/>
    </row>
    <row r="177" spans="1:13" ht="21" customHeight="1" x14ac:dyDescent="0.25">
      <c r="A177" s="243">
        <v>801</v>
      </c>
      <c r="B177" s="244" t="s">
        <v>188</v>
      </c>
      <c r="C177" s="245"/>
      <c r="D177" s="246"/>
      <c r="E177" s="246">
        <f>SUM(E179+E183+E191+E199+E200+E209)</f>
        <v>444933</v>
      </c>
      <c r="F177" s="247">
        <f>SUM(F179:F209)</f>
        <v>444933</v>
      </c>
      <c r="G177" s="164"/>
      <c r="H177" s="164"/>
      <c r="I177" s="164"/>
      <c r="J177" s="164"/>
      <c r="K177" s="164"/>
      <c r="L177" s="164"/>
      <c r="M177" s="164"/>
    </row>
    <row r="178" spans="1:13" ht="20.25" customHeight="1" thickBot="1" x14ac:dyDescent="0.3">
      <c r="A178" s="407"/>
      <c r="B178" s="408"/>
      <c r="C178" s="408"/>
      <c r="D178" s="408"/>
      <c r="E178" s="408"/>
      <c r="F178" s="409"/>
      <c r="G178" s="164"/>
      <c r="H178" s="164"/>
      <c r="I178" s="164"/>
      <c r="J178" s="164"/>
      <c r="K178" s="164"/>
      <c r="L178" s="164"/>
      <c r="M178" s="164"/>
    </row>
    <row r="179" spans="1:13" ht="16.5" customHeight="1" x14ac:dyDescent="0.25">
      <c r="A179" s="394">
        <v>3020</v>
      </c>
      <c r="B179" s="118" t="s">
        <v>189</v>
      </c>
      <c r="C179" s="131"/>
      <c r="D179" s="132"/>
      <c r="E179" s="132">
        <f>SUM(E180:E182)</f>
        <v>16392</v>
      </c>
      <c r="F179" s="397">
        <f>E179</f>
        <v>16392</v>
      </c>
      <c r="G179" s="164"/>
      <c r="H179" s="178"/>
      <c r="I179" s="165"/>
      <c r="J179" s="179"/>
      <c r="K179" s="164"/>
      <c r="L179" s="164"/>
      <c r="M179" s="164"/>
    </row>
    <row r="180" spans="1:13" ht="18.75" customHeight="1" thickBot="1" x14ac:dyDescent="0.3">
      <c r="A180" s="395"/>
      <c r="B180" s="72" t="s">
        <v>190</v>
      </c>
      <c r="C180" s="89">
        <v>12</v>
      </c>
      <c r="D180" s="134">
        <v>1366</v>
      </c>
      <c r="E180" s="134">
        <f>ROUND(C180*D180,0)</f>
        <v>16392</v>
      </c>
      <c r="F180" s="398"/>
      <c r="G180" s="164"/>
      <c r="H180" s="178"/>
      <c r="I180" s="165"/>
      <c r="J180" s="179"/>
      <c r="K180" s="164"/>
      <c r="L180" s="164"/>
      <c r="M180" s="164"/>
    </row>
    <row r="181" spans="1:13" ht="18.75" hidden="1" customHeight="1" thickBot="1" x14ac:dyDescent="0.3">
      <c r="A181" s="395"/>
      <c r="B181" s="72"/>
      <c r="C181" s="89"/>
      <c r="D181" s="134"/>
      <c r="E181" s="134">
        <f>ROUND(C181*D181,0)</f>
        <v>0</v>
      </c>
      <c r="F181" s="398"/>
      <c r="G181" s="164"/>
      <c r="H181" s="178"/>
      <c r="I181" s="165"/>
      <c r="J181" s="179"/>
      <c r="K181" s="164"/>
      <c r="L181" s="164"/>
      <c r="M181" s="164"/>
    </row>
    <row r="182" spans="1:13" ht="27.75" hidden="1" customHeight="1" thickBot="1" x14ac:dyDescent="0.3">
      <c r="A182" s="396"/>
      <c r="B182" s="79"/>
      <c r="C182" s="135"/>
      <c r="D182" s="136"/>
      <c r="E182" s="134">
        <f>ROUND(C182*D182,0)</f>
        <v>0</v>
      </c>
      <c r="F182" s="399"/>
      <c r="G182" s="164"/>
      <c r="H182" s="178"/>
      <c r="I182" s="165"/>
      <c r="J182" s="179"/>
      <c r="K182" s="164"/>
      <c r="L182" s="164"/>
      <c r="M182" s="164"/>
    </row>
    <row r="183" spans="1:13" ht="21" customHeight="1" x14ac:dyDescent="0.25">
      <c r="A183" s="394">
        <v>4110</v>
      </c>
      <c r="B183" s="118" t="s">
        <v>124</v>
      </c>
      <c r="C183" s="131"/>
      <c r="D183" s="132"/>
      <c r="E183" s="132">
        <f>SUM(E184:E190)</f>
        <v>55763</v>
      </c>
      <c r="F183" s="397">
        <f>E183</f>
        <v>55763</v>
      </c>
      <c r="G183" s="164"/>
      <c r="H183" s="178"/>
      <c r="I183" s="165"/>
      <c r="J183" s="179"/>
      <c r="K183" s="164"/>
      <c r="L183" s="164"/>
      <c r="M183" s="164"/>
    </row>
    <row r="184" spans="1:13" ht="28.5" customHeight="1" x14ac:dyDescent="0.25">
      <c r="A184" s="395"/>
      <c r="B184" s="72" t="s">
        <v>191</v>
      </c>
      <c r="C184" s="89">
        <v>12</v>
      </c>
      <c r="D184" s="137">
        <f>D180*H1</f>
        <v>239.86960000000002</v>
      </c>
      <c r="E184" s="134">
        <f t="shared" ref="E184:E190" si="12">ROUND(C184*D184,0)</f>
        <v>2878</v>
      </c>
      <c r="F184" s="398"/>
      <c r="G184" s="164"/>
      <c r="H184" s="178"/>
      <c r="I184" s="165"/>
      <c r="J184" s="179"/>
      <c r="K184" s="164"/>
      <c r="L184" s="164"/>
      <c r="M184" s="164"/>
    </row>
    <row r="185" spans="1:13" x14ac:dyDescent="0.25">
      <c r="A185" s="395"/>
      <c r="B185" s="108" t="s">
        <v>147</v>
      </c>
      <c r="C185" s="89">
        <v>12</v>
      </c>
      <c r="D185" s="137">
        <v>3042.63</v>
      </c>
      <c r="E185" s="134">
        <f t="shared" si="12"/>
        <v>36512</v>
      </c>
      <c r="F185" s="398"/>
      <c r="G185" s="164"/>
      <c r="H185" s="178"/>
      <c r="I185" s="165"/>
      <c r="J185" s="179"/>
      <c r="K185" s="164"/>
      <c r="L185" s="164"/>
      <c r="M185" s="164"/>
    </row>
    <row r="186" spans="1:13" ht="24" customHeight="1" x14ac:dyDescent="0.25">
      <c r="A186" s="395"/>
      <c r="B186" s="108" t="s">
        <v>192</v>
      </c>
      <c r="C186" s="89">
        <v>12</v>
      </c>
      <c r="D186" s="137">
        <f>263.4+491.63</f>
        <v>755.03</v>
      </c>
      <c r="E186" s="134">
        <f t="shared" si="12"/>
        <v>9060</v>
      </c>
      <c r="F186" s="398"/>
      <c r="G186" s="164"/>
      <c r="H186" s="178"/>
      <c r="I186" s="165"/>
      <c r="J186" s="179"/>
      <c r="K186" s="164"/>
      <c r="L186" s="164"/>
      <c r="M186" s="164"/>
    </row>
    <row r="187" spans="1:13" ht="21.75" customHeight="1" x14ac:dyDescent="0.25">
      <c r="A187" s="395"/>
      <c r="B187" s="108" t="s">
        <v>193</v>
      </c>
      <c r="C187" s="89">
        <v>1</v>
      </c>
      <c r="D187" s="137">
        <v>460</v>
      </c>
      <c r="E187" s="134">
        <f t="shared" si="12"/>
        <v>460</v>
      </c>
      <c r="F187" s="398"/>
      <c r="G187" s="164"/>
      <c r="H187" s="178"/>
      <c r="I187" s="165"/>
      <c r="J187" s="179"/>
      <c r="K187" s="164"/>
      <c r="L187" s="164"/>
      <c r="M187" s="164"/>
    </row>
    <row r="188" spans="1:13" x14ac:dyDescent="0.25">
      <c r="A188" s="395"/>
      <c r="B188" s="108" t="s">
        <v>227</v>
      </c>
      <c r="C188" s="248">
        <v>1</v>
      </c>
      <c r="D188" s="249">
        <f>1890+263.4</f>
        <v>2153.4</v>
      </c>
      <c r="E188" s="250">
        <f t="shared" si="12"/>
        <v>2153</v>
      </c>
      <c r="F188" s="398"/>
      <c r="G188" s="164"/>
      <c r="H188" s="178"/>
      <c r="I188" s="165"/>
      <c r="J188" s="179"/>
      <c r="K188" s="164"/>
      <c r="L188" s="164"/>
      <c r="M188" s="164"/>
    </row>
    <row r="189" spans="1:13" ht="21.75" customHeight="1" x14ac:dyDescent="0.25">
      <c r="A189" s="395"/>
      <c r="B189" s="72"/>
      <c r="C189" s="89">
        <v>1</v>
      </c>
      <c r="D189" s="134"/>
      <c r="E189" s="134">
        <f t="shared" si="12"/>
        <v>0</v>
      </c>
      <c r="F189" s="398"/>
      <c r="G189" s="164"/>
      <c r="H189" s="178"/>
      <c r="I189" s="165"/>
      <c r="J189" s="179"/>
      <c r="K189" s="164"/>
      <c r="L189" s="164"/>
      <c r="M189" s="164"/>
    </row>
    <row r="190" spans="1:13" ht="23.25" customHeight="1" thickBot="1" x14ac:dyDescent="0.3">
      <c r="A190" s="396"/>
      <c r="B190" s="90" t="s">
        <v>194</v>
      </c>
      <c r="C190" s="138">
        <v>1</v>
      </c>
      <c r="D190" s="139">
        <v>4700</v>
      </c>
      <c r="E190" s="134">
        <f t="shared" si="12"/>
        <v>4700</v>
      </c>
      <c r="F190" s="399"/>
      <c r="G190" s="164"/>
      <c r="H190" s="178"/>
      <c r="I190" s="165"/>
      <c r="J190" s="179"/>
      <c r="K190" s="164"/>
      <c r="L190" s="164"/>
      <c r="M190" s="164"/>
    </row>
    <row r="191" spans="1:13" ht="21" customHeight="1" x14ac:dyDescent="0.25">
      <c r="A191" s="394">
        <v>4120</v>
      </c>
      <c r="B191" s="118" t="s">
        <v>152</v>
      </c>
      <c r="C191" s="131"/>
      <c r="D191" s="132"/>
      <c r="E191" s="132">
        <f>SUM(E192:E198)</f>
        <v>53111</v>
      </c>
      <c r="F191" s="397">
        <f>E191</f>
        <v>53111</v>
      </c>
      <c r="G191" s="164"/>
      <c r="H191" s="178"/>
      <c r="I191" s="165"/>
      <c r="J191" s="179"/>
      <c r="K191" s="164"/>
      <c r="L191" s="164"/>
      <c r="M191" s="164"/>
    </row>
    <row r="192" spans="1:13" ht="18" customHeight="1" x14ac:dyDescent="0.25">
      <c r="A192" s="395"/>
      <c r="B192" s="72" t="s">
        <v>195</v>
      </c>
      <c r="C192" s="89">
        <v>12</v>
      </c>
      <c r="D192" s="137">
        <f>D180*H3</f>
        <v>33.466999999999999</v>
      </c>
      <c r="E192" s="134">
        <f>ROUND(C192*D192,0)</f>
        <v>402</v>
      </c>
      <c r="F192" s="398"/>
      <c r="G192" s="164"/>
      <c r="H192" s="178"/>
      <c r="I192" s="165"/>
      <c r="J192" s="179"/>
      <c r="K192" s="164"/>
      <c r="L192" s="164"/>
      <c r="M192" s="164"/>
    </row>
    <row r="193" spans="1:13" ht="14.25" customHeight="1" x14ac:dyDescent="0.25">
      <c r="A193" s="395"/>
      <c r="B193" s="72" t="s">
        <v>196</v>
      </c>
      <c r="C193" s="89">
        <v>12</v>
      </c>
      <c r="D193" s="137">
        <v>434</v>
      </c>
      <c r="E193" s="134">
        <f>ROUND(116*D193,0)</f>
        <v>50344</v>
      </c>
      <c r="F193" s="398"/>
      <c r="G193" s="164"/>
      <c r="H193" s="178"/>
      <c r="I193" s="165"/>
      <c r="J193" s="179"/>
      <c r="K193" s="164"/>
      <c r="L193" s="164"/>
      <c r="M193" s="164"/>
    </row>
    <row r="194" spans="1:13" ht="15.75" customHeight="1" x14ac:dyDescent="0.25">
      <c r="A194" s="395"/>
      <c r="B194" s="72" t="s">
        <v>197</v>
      </c>
      <c r="C194" s="89">
        <v>12</v>
      </c>
      <c r="D194" s="137">
        <v>110</v>
      </c>
      <c r="E194" s="134">
        <f t="shared" ref="E194:E199" si="13">ROUND(C194*D194,0)</f>
        <v>1320</v>
      </c>
      <c r="F194" s="398"/>
      <c r="G194" s="164"/>
      <c r="H194" s="178"/>
      <c r="I194" s="165"/>
      <c r="J194" s="179"/>
      <c r="K194" s="164"/>
      <c r="L194" s="164"/>
      <c r="M194" s="164"/>
    </row>
    <row r="195" spans="1:13" ht="21" customHeight="1" x14ac:dyDescent="0.25">
      <c r="A195" s="395"/>
      <c r="B195" s="72" t="s">
        <v>199</v>
      </c>
      <c r="C195" s="89">
        <v>1</v>
      </c>
      <c r="D195" s="137">
        <v>65</v>
      </c>
      <c r="E195" s="134">
        <f t="shared" si="13"/>
        <v>65</v>
      </c>
      <c r="F195" s="398"/>
      <c r="G195" s="164"/>
      <c r="H195" s="178"/>
      <c r="I195" s="165"/>
      <c r="J195" s="179"/>
      <c r="K195" s="164"/>
      <c r="L195" s="164"/>
      <c r="M195" s="164"/>
    </row>
    <row r="196" spans="1:13" ht="24" x14ac:dyDescent="0.25">
      <c r="A196" s="395"/>
      <c r="B196" s="72" t="s">
        <v>228</v>
      </c>
      <c r="C196" s="89">
        <v>1</v>
      </c>
      <c r="D196" s="137">
        <v>310</v>
      </c>
      <c r="E196" s="134">
        <f t="shared" si="13"/>
        <v>310</v>
      </c>
      <c r="F196" s="398"/>
      <c r="G196" s="164"/>
      <c r="H196" s="178"/>
      <c r="I196" s="165"/>
      <c r="J196" s="179"/>
      <c r="K196" s="164"/>
      <c r="L196" s="164"/>
      <c r="M196" s="164"/>
    </row>
    <row r="197" spans="1:13" ht="24" hidden="1" customHeight="1" x14ac:dyDescent="0.25">
      <c r="A197" s="395"/>
      <c r="B197" s="72"/>
      <c r="C197" s="89"/>
      <c r="D197" s="134"/>
      <c r="E197" s="134">
        <f t="shared" si="13"/>
        <v>0</v>
      </c>
      <c r="F197" s="398"/>
      <c r="G197" s="164"/>
      <c r="H197" s="178"/>
      <c r="I197" s="165"/>
      <c r="J197" s="179"/>
      <c r="K197" s="164"/>
      <c r="L197" s="164"/>
      <c r="M197" s="164"/>
    </row>
    <row r="198" spans="1:13" ht="24" customHeight="1" thickBot="1" x14ac:dyDescent="0.3">
      <c r="A198" s="396"/>
      <c r="B198" s="148" t="s">
        <v>200</v>
      </c>
      <c r="C198" s="251">
        <v>1</v>
      </c>
      <c r="D198" s="252">
        <v>670</v>
      </c>
      <c r="E198" s="250">
        <f t="shared" si="13"/>
        <v>670</v>
      </c>
      <c r="F198" s="399"/>
      <c r="G198" s="164"/>
      <c r="H198" s="178"/>
      <c r="I198" s="165"/>
      <c r="J198" s="179"/>
      <c r="K198" s="164"/>
      <c r="L198" s="164"/>
      <c r="M198" s="164"/>
    </row>
    <row r="199" spans="1:13" ht="20.25" customHeight="1" thickBot="1" x14ac:dyDescent="0.3">
      <c r="A199" s="144">
        <v>4440</v>
      </c>
      <c r="B199" s="253" t="s">
        <v>173</v>
      </c>
      <c r="C199" s="145">
        <v>1</v>
      </c>
      <c r="D199" s="146">
        <v>12315</v>
      </c>
      <c r="E199" s="146">
        <f t="shared" si="13"/>
        <v>12315</v>
      </c>
      <c r="F199" s="147">
        <f>E199</f>
        <v>12315</v>
      </c>
      <c r="G199" s="164"/>
      <c r="H199" s="178"/>
      <c r="I199" s="165"/>
      <c r="J199" s="179"/>
      <c r="K199" s="164"/>
      <c r="L199" s="164"/>
      <c r="M199" s="164"/>
    </row>
    <row r="200" spans="1:13" x14ac:dyDescent="0.25">
      <c r="A200" s="394">
        <v>4790</v>
      </c>
      <c r="B200" s="140" t="s">
        <v>87</v>
      </c>
      <c r="C200" s="141"/>
      <c r="D200" s="142"/>
      <c r="E200" s="142">
        <f>SUM(E201:E208)</f>
        <v>280352</v>
      </c>
      <c r="F200" s="397">
        <f>E200</f>
        <v>280352</v>
      </c>
      <c r="G200" s="164"/>
      <c r="H200" s="178"/>
      <c r="I200" s="165"/>
      <c r="J200" s="179"/>
      <c r="K200" s="164"/>
      <c r="L200" s="164"/>
      <c r="M200" s="164"/>
    </row>
    <row r="201" spans="1:13" x14ac:dyDescent="0.25">
      <c r="A201" s="395"/>
      <c r="B201" s="119" t="s">
        <v>201</v>
      </c>
      <c r="C201" s="89">
        <v>12</v>
      </c>
      <c r="D201" s="134">
        <v>17700</v>
      </c>
      <c r="E201" s="134">
        <f>ROUND((C201*D201),0)</f>
        <v>212400</v>
      </c>
      <c r="F201" s="398"/>
      <c r="G201" s="164"/>
      <c r="H201" s="178"/>
      <c r="I201" s="165"/>
      <c r="J201" s="179"/>
      <c r="K201" s="164"/>
      <c r="L201" s="164"/>
      <c r="M201" s="164"/>
    </row>
    <row r="202" spans="1:13" x14ac:dyDescent="0.25">
      <c r="A202" s="395"/>
      <c r="B202" s="119" t="s">
        <v>183</v>
      </c>
      <c r="C202" s="143">
        <v>0.01</v>
      </c>
      <c r="D202" s="137">
        <f>E201+E203+E207+E208</f>
        <v>265200</v>
      </c>
      <c r="E202" s="134">
        <f>ROUND(C202*D202,0)</f>
        <v>2652</v>
      </c>
      <c r="F202" s="398"/>
      <c r="G202" s="164"/>
      <c r="H202" s="178"/>
      <c r="I202" s="165"/>
      <c r="J202" s="179"/>
      <c r="K202" s="164"/>
      <c r="L202" s="164"/>
      <c r="M202" s="164"/>
    </row>
    <row r="203" spans="1:13" x14ac:dyDescent="0.25">
      <c r="A203" s="395"/>
      <c r="B203" s="120" t="s">
        <v>184</v>
      </c>
      <c r="C203" s="89">
        <v>12</v>
      </c>
      <c r="D203" s="134">
        <v>4400</v>
      </c>
      <c r="E203" s="134">
        <f t="shared" ref="E203:E208" si="14">ROUND((C203*D203),0)</f>
        <v>52800</v>
      </c>
      <c r="F203" s="398"/>
      <c r="G203" s="164"/>
      <c r="H203" s="178"/>
      <c r="I203" s="165"/>
      <c r="J203" s="179"/>
      <c r="K203" s="164"/>
      <c r="L203" s="164"/>
      <c r="M203" s="164"/>
    </row>
    <row r="204" spans="1:13" ht="0.75" customHeight="1" x14ac:dyDescent="0.25">
      <c r="A204" s="395"/>
      <c r="B204" s="72"/>
      <c r="C204" s="89"/>
      <c r="D204" s="134"/>
      <c r="E204" s="134">
        <f t="shared" si="14"/>
        <v>0</v>
      </c>
      <c r="F204" s="398"/>
      <c r="G204" s="164"/>
      <c r="H204" s="178"/>
      <c r="I204" s="165"/>
      <c r="J204" s="179"/>
      <c r="K204" s="164"/>
      <c r="L204" s="164"/>
      <c r="M204" s="164"/>
    </row>
    <row r="205" spans="1:13" ht="23.25" hidden="1" customHeight="1" x14ac:dyDescent="0.25">
      <c r="A205" s="395"/>
      <c r="B205" s="72"/>
      <c r="C205" s="89"/>
      <c r="D205" s="134"/>
      <c r="E205" s="134">
        <f t="shared" si="14"/>
        <v>0</v>
      </c>
      <c r="F205" s="398"/>
      <c r="G205" s="164"/>
      <c r="H205" s="178"/>
      <c r="I205" s="165"/>
      <c r="J205" s="179"/>
      <c r="K205" s="164"/>
      <c r="L205" s="164"/>
      <c r="M205" s="164"/>
    </row>
    <row r="206" spans="1:13" x14ac:dyDescent="0.25">
      <c r="A206" s="395"/>
      <c r="B206" s="120" t="s">
        <v>185</v>
      </c>
      <c r="C206" s="254">
        <v>1</v>
      </c>
      <c r="D206" s="255">
        <v>12500</v>
      </c>
      <c r="E206" s="134">
        <f t="shared" si="14"/>
        <v>12500</v>
      </c>
      <c r="F206" s="398"/>
      <c r="G206" s="164"/>
      <c r="H206" s="178"/>
      <c r="I206" s="165"/>
      <c r="J206" s="179"/>
      <c r="K206" s="164"/>
      <c r="L206" s="164"/>
      <c r="M206" s="164"/>
    </row>
    <row r="207" spans="1:13" x14ac:dyDescent="0.25">
      <c r="A207" s="395"/>
      <c r="B207" s="121" t="s">
        <v>202</v>
      </c>
      <c r="C207" s="89">
        <v>1</v>
      </c>
      <c r="D207" s="134">
        <v>0</v>
      </c>
      <c r="E207" s="134">
        <f t="shared" si="14"/>
        <v>0</v>
      </c>
      <c r="F207" s="398"/>
      <c r="G207" s="164"/>
      <c r="H207" s="178"/>
      <c r="I207" s="165"/>
      <c r="J207" s="179"/>
      <c r="K207" s="164"/>
      <c r="L207" s="164"/>
      <c r="M207" s="164"/>
    </row>
    <row r="208" spans="1:13" ht="15.75" thickBot="1" x14ac:dyDescent="0.3">
      <c r="A208" s="396"/>
      <c r="B208" s="121" t="s">
        <v>203</v>
      </c>
      <c r="C208" s="89">
        <v>1</v>
      </c>
      <c r="D208" s="134">
        <v>0</v>
      </c>
      <c r="E208" s="134">
        <f t="shared" si="14"/>
        <v>0</v>
      </c>
      <c r="F208" s="399"/>
      <c r="G208" s="164"/>
      <c r="H208" s="178"/>
      <c r="I208" s="165"/>
      <c r="J208" s="179"/>
      <c r="K208" s="164"/>
      <c r="L208" s="164"/>
      <c r="M208" s="164"/>
    </row>
    <row r="209" spans="1:13" ht="15.75" thickBot="1" x14ac:dyDescent="0.3">
      <c r="A209" s="144">
        <v>4800</v>
      </c>
      <c r="B209" s="115" t="s">
        <v>101</v>
      </c>
      <c r="C209" s="145">
        <v>1</v>
      </c>
      <c r="D209" s="146">
        <v>27000</v>
      </c>
      <c r="E209" s="146">
        <f>C209*D209</f>
        <v>27000</v>
      </c>
      <c r="F209" s="147">
        <f>E209</f>
        <v>27000</v>
      </c>
      <c r="G209" s="164"/>
      <c r="H209" s="164"/>
      <c r="I209" s="164"/>
      <c r="J209" s="164"/>
      <c r="K209" s="164"/>
      <c r="L209" s="164"/>
      <c r="M209" s="164"/>
    </row>
    <row r="210" spans="1:13" x14ac:dyDescent="0.25">
      <c r="A210" s="410"/>
      <c r="B210" s="411"/>
      <c r="C210" s="411"/>
      <c r="D210" s="411"/>
      <c r="E210" s="411"/>
      <c r="F210" s="412"/>
    </row>
    <row r="211" spans="1:13" ht="38.25" customHeight="1" thickBot="1" x14ac:dyDescent="0.3">
      <c r="A211" s="173">
        <v>801</v>
      </c>
      <c r="B211" s="256" t="s">
        <v>204</v>
      </c>
      <c r="C211" s="175"/>
      <c r="D211" s="176"/>
      <c r="E211" s="176">
        <f>SUM(E212:E213)</f>
        <v>45000</v>
      </c>
      <c r="F211" s="177">
        <f>SUM(F212:F213)</f>
        <v>45000</v>
      </c>
    </row>
    <row r="212" spans="1:13" ht="15.75" thickBot="1" x14ac:dyDescent="0.3">
      <c r="A212" s="101">
        <v>4300</v>
      </c>
      <c r="B212" s="102" t="s">
        <v>37</v>
      </c>
      <c r="C212" s="103">
        <v>1</v>
      </c>
      <c r="D212" s="104">
        <v>4000</v>
      </c>
      <c r="E212" s="104">
        <f>C212*D212</f>
        <v>4000</v>
      </c>
      <c r="F212" s="105">
        <f>E212</f>
        <v>4000</v>
      </c>
    </row>
    <row r="213" spans="1:13" ht="26.25" thickBot="1" x14ac:dyDescent="0.3">
      <c r="A213" s="101">
        <v>4700</v>
      </c>
      <c r="B213" s="102" t="s">
        <v>174</v>
      </c>
      <c r="C213" s="103">
        <v>1</v>
      </c>
      <c r="D213" s="104">
        <v>41000</v>
      </c>
      <c r="E213" s="104">
        <f>ROUND(C213*D213,0)</f>
        <v>41000</v>
      </c>
      <c r="F213" s="105">
        <f>E213</f>
        <v>41000</v>
      </c>
    </row>
    <row r="214" spans="1:13" x14ac:dyDescent="0.25">
      <c r="A214" s="410"/>
      <c r="B214" s="411"/>
      <c r="C214" s="411"/>
      <c r="D214" s="411"/>
      <c r="E214" s="411"/>
      <c r="F214" s="412"/>
    </row>
    <row r="215" spans="1:13" ht="15.75" thickBot="1" x14ac:dyDescent="0.3">
      <c r="A215" s="173">
        <v>801</v>
      </c>
      <c r="B215" s="256" t="s">
        <v>205</v>
      </c>
      <c r="C215" s="175"/>
      <c r="D215" s="176"/>
      <c r="E215" s="176">
        <f>E216+E223+E224+E229+E234+E238+E240+E241+E239</f>
        <v>1704422</v>
      </c>
      <c r="F215" s="177">
        <f>SUM(F216:F241)</f>
        <v>1704422</v>
      </c>
      <c r="H215" s="193"/>
      <c r="I215" s="193"/>
    </row>
    <row r="216" spans="1:13" x14ac:dyDescent="0.25">
      <c r="A216" s="388">
        <v>4010</v>
      </c>
      <c r="B216" s="93" t="s">
        <v>206</v>
      </c>
      <c r="C216" s="68"/>
      <c r="D216" s="69"/>
      <c r="E216" s="69">
        <f>SUM(E217+E218+E221+E222)</f>
        <v>1048690</v>
      </c>
      <c r="F216" s="391">
        <f>E216</f>
        <v>1048690</v>
      </c>
      <c r="I216" s="193"/>
      <c r="J216" s="193"/>
    </row>
    <row r="217" spans="1:13" x14ac:dyDescent="0.25">
      <c r="A217" s="389"/>
      <c r="B217" s="72" t="s">
        <v>138</v>
      </c>
      <c r="C217" s="73">
        <v>12</v>
      </c>
      <c r="D217" s="74">
        <v>77510</v>
      </c>
      <c r="E217" s="74">
        <f>C217*D217</f>
        <v>930120</v>
      </c>
      <c r="F217" s="392"/>
      <c r="I217" s="178"/>
      <c r="J217" s="165"/>
      <c r="L217" s="179"/>
    </row>
    <row r="218" spans="1:13" ht="23.25" customHeight="1" x14ac:dyDescent="0.25">
      <c r="A218" s="389"/>
      <c r="B218" s="108" t="s">
        <v>207</v>
      </c>
      <c r="C218" s="88">
        <v>0</v>
      </c>
      <c r="D218" s="76"/>
      <c r="E218" s="74">
        <f>ROUND(C218*D218,0)</f>
        <v>0</v>
      </c>
      <c r="F218" s="392"/>
      <c r="I218" s="178"/>
      <c r="J218" s="165"/>
      <c r="L218" s="179"/>
    </row>
    <row r="219" spans="1:13" ht="0.75" customHeight="1" x14ac:dyDescent="0.25">
      <c r="A219" s="389"/>
      <c r="B219" s="108" t="s">
        <v>140</v>
      </c>
      <c r="C219" s="73">
        <v>1</v>
      </c>
      <c r="D219" s="74" t="s">
        <v>284</v>
      </c>
      <c r="E219" s="74" t="e">
        <f>ROUND(C219*D219,0)</f>
        <v>#VALUE!</v>
      </c>
      <c r="F219" s="392"/>
      <c r="I219" s="178"/>
      <c r="J219" s="165"/>
      <c r="K219" s="179"/>
    </row>
    <row r="220" spans="1:13" ht="15" hidden="1" customHeight="1" x14ac:dyDescent="0.25">
      <c r="A220" s="389"/>
      <c r="B220" s="72" t="s">
        <v>141</v>
      </c>
      <c r="C220" s="73">
        <v>1</v>
      </c>
      <c r="D220" s="74" t="s">
        <v>284</v>
      </c>
      <c r="E220" s="74" t="e">
        <f>C220*D220</f>
        <v>#VALUE!</v>
      </c>
      <c r="F220" s="392"/>
      <c r="H220" s="178"/>
      <c r="I220" s="165"/>
      <c r="J220" s="179"/>
    </row>
    <row r="221" spans="1:13" ht="18" customHeight="1" x14ac:dyDescent="0.25">
      <c r="A221" s="389"/>
      <c r="B221" s="72" t="s">
        <v>208</v>
      </c>
      <c r="C221" s="73">
        <v>1</v>
      </c>
      <c r="D221" s="74">
        <v>37350</v>
      </c>
      <c r="E221" s="74">
        <f>ROUND(C221*D221,0)</f>
        <v>37350</v>
      </c>
      <c r="F221" s="392"/>
      <c r="H221" s="178"/>
      <c r="I221" s="165"/>
      <c r="J221" s="179"/>
    </row>
    <row r="222" spans="1:13" ht="15.75" thickBot="1" x14ac:dyDescent="0.3">
      <c r="A222" s="390"/>
      <c r="B222" s="148" t="s">
        <v>209</v>
      </c>
      <c r="C222" s="91">
        <v>1</v>
      </c>
      <c r="D222" s="92">
        <v>81220</v>
      </c>
      <c r="E222" s="74">
        <f>ROUND(C222*D222,0)</f>
        <v>81220</v>
      </c>
      <c r="F222" s="393"/>
      <c r="H222" s="178"/>
      <c r="I222" s="165"/>
      <c r="J222" s="179"/>
    </row>
    <row r="223" spans="1:13" ht="15.75" thickBot="1" x14ac:dyDescent="0.3">
      <c r="A223" s="101">
        <v>4040</v>
      </c>
      <c r="B223" s="102" t="s">
        <v>40</v>
      </c>
      <c r="C223" s="103">
        <v>1</v>
      </c>
      <c r="D223" s="104">
        <v>80000</v>
      </c>
      <c r="E223" s="104">
        <f>C223*D223</f>
        <v>80000</v>
      </c>
      <c r="F223" s="105">
        <f>E223</f>
        <v>80000</v>
      </c>
      <c r="H223" s="190"/>
      <c r="I223" s="190"/>
      <c r="J223" s="179"/>
      <c r="K223" s="257"/>
      <c r="L223" s="257"/>
      <c r="M223" s="257"/>
    </row>
    <row r="224" spans="1:13" x14ac:dyDescent="0.25">
      <c r="A224" s="388">
        <v>4110</v>
      </c>
      <c r="B224" s="67" t="s">
        <v>124</v>
      </c>
      <c r="C224" s="58"/>
      <c r="D224" s="59"/>
      <c r="E224" s="59">
        <f>SUM(E225:E228)</f>
        <v>313446</v>
      </c>
      <c r="F224" s="391">
        <f>E224</f>
        <v>313446</v>
      </c>
      <c r="H224" s="178"/>
      <c r="I224" s="165"/>
      <c r="J224" s="179"/>
    </row>
    <row r="225" spans="1:10" x14ac:dyDescent="0.25">
      <c r="A225" s="389"/>
      <c r="B225" s="72" t="s">
        <v>210</v>
      </c>
      <c r="C225" s="73">
        <v>12</v>
      </c>
      <c r="D225" s="76">
        <v>13443</v>
      </c>
      <c r="E225" s="74">
        <f>ROUND(C225*D225,0)</f>
        <v>161316</v>
      </c>
      <c r="F225" s="392"/>
      <c r="H225" s="178"/>
      <c r="I225" s="165"/>
      <c r="J225" s="179"/>
    </row>
    <row r="226" spans="1:10" x14ac:dyDescent="0.25">
      <c r="A226" s="389"/>
      <c r="B226" s="72" t="s">
        <v>211</v>
      </c>
      <c r="C226" s="73">
        <v>1</v>
      </c>
      <c r="D226" s="74">
        <f>E218*H1</f>
        <v>0</v>
      </c>
      <c r="E226" s="74">
        <f>ROUND(C226*D226,0)</f>
        <v>0</v>
      </c>
      <c r="F226" s="392"/>
      <c r="H226" s="178"/>
      <c r="I226" s="165"/>
      <c r="J226" s="179"/>
    </row>
    <row r="227" spans="1:10" x14ac:dyDescent="0.25">
      <c r="A227" s="389"/>
      <c r="B227" s="72"/>
      <c r="C227" s="73"/>
      <c r="D227" s="74"/>
      <c r="E227" s="74">
        <f>ROUND(C227*D227,0)</f>
        <v>0</v>
      </c>
      <c r="F227" s="392"/>
      <c r="H227" s="178"/>
      <c r="I227" s="165"/>
      <c r="J227" s="179"/>
    </row>
    <row r="228" spans="1:10" ht="15.75" thickBot="1" x14ac:dyDescent="0.3">
      <c r="A228" s="71"/>
      <c r="B228" s="148" t="s">
        <v>194</v>
      </c>
      <c r="C228" s="91">
        <v>11</v>
      </c>
      <c r="D228" s="149">
        <v>13830</v>
      </c>
      <c r="E228" s="74">
        <f>ROUND(C228*D228,0)</f>
        <v>152130</v>
      </c>
      <c r="F228" s="393"/>
      <c r="H228" s="178"/>
      <c r="I228" s="165"/>
      <c r="J228" s="179"/>
    </row>
    <row r="229" spans="1:10" x14ac:dyDescent="0.25">
      <c r="A229" s="394">
        <v>4120</v>
      </c>
      <c r="B229" s="93" t="s">
        <v>152</v>
      </c>
      <c r="C229" s="68"/>
      <c r="D229" s="69"/>
      <c r="E229" s="69">
        <f>SUM(E230:E233)</f>
        <v>24796</v>
      </c>
      <c r="F229" s="391">
        <f>E229</f>
        <v>24796</v>
      </c>
      <c r="H229" s="178"/>
      <c r="I229" s="165"/>
      <c r="J229" s="179"/>
    </row>
    <row r="230" spans="1:10" x14ac:dyDescent="0.25">
      <c r="A230" s="395"/>
      <c r="B230" s="72" t="s">
        <v>212</v>
      </c>
      <c r="C230" s="73">
        <v>12</v>
      </c>
      <c r="D230" s="76">
        <v>1903</v>
      </c>
      <c r="E230" s="74">
        <f>ROUND(C230*D230,0)</f>
        <v>22836</v>
      </c>
      <c r="F230" s="392"/>
      <c r="H230" s="178"/>
      <c r="I230" s="165"/>
      <c r="J230" s="179"/>
    </row>
    <row r="231" spans="1:10" x14ac:dyDescent="0.25">
      <c r="A231" s="395"/>
      <c r="B231" s="72" t="s">
        <v>213</v>
      </c>
      <c r="C231" s="73">
        <v>1</v>
      </c>
      <c r="D231" s="76">
        <f>E218*H3</f>
        <v>0</v>
      </c>
      <c r="E231" s="74">
        <f>ROUND(C231*D231,0)</f>
        <v>0</v>
      </c>
      <c r="F231" s="392"/>
      <c r="H231" s="178"/>
      <c r="I231" s="165"/>
      <c r="J231" s="179"/>
    </row>
    <row r="232" spans="1:10" x14ac:dyDescent="0.25">
      <c r="A232" s="395"/>
      <c r="B232" s="72"/>
      <c r="C232" s="73"/>
      <c r="D232" s="74"/>
      <c r="E232" s="74">
        <f>ROUND(C232*D232,0)</f>
        <v>0</v>
      </c>
      <c r="F232" s="392"/>
      <c r="H232" s="178"/>
      <c r="I232" s="165"/>
      <c r="J232" s="179"/>
    </row>
    <row r="233" spans="1:10" ht="15.75" thickBot="1" x14ac:dyDescent="0.3">
      <c r="A233" s="133"/>
      <c r="B233" s="148" t="s">
        <v>200</v>
      </c>
      <c r="C233" s="85">
        <v>1</v>
      </c>
      <c r="D233" s="150">
        <f>D223*H3</f>
        <v>1960</v>
      </c>
      <c r="E233" s="74">
        <f>ROUND(C233*D233,0)</f>
        <v>1960</v>
      </c>
      <c r="F233" s="393"/>
      <c r="H233" s="178"/>
      <c r="I233" s="165"/>
      <c r="J233" s="179"/>
    </row>
    <row r="234" spans="1:10" x14ac:dyDescent="0.25">
      <c r="A234" s="388">
        <v>4210</v>
      </c>
      <c r="B234" s="67" t="s">
        <v>214</v>
      </c>
      <c r="C234" s="58"/>
      <c r="D234" s="59"/>
      <c r="E234" s="59">
        <f>SUM(E235:E237)</f>
        <v>2550</v>
      </c>
      <c r="F234" s="391">
        <f>E234</f>
        <v>2550</v>
      </c>
    </row>
    <row r="235" spans="1:10" ht="36" x14ac:dyDescent="0.25">
      <c r="A235" s="389"/>
      <c r="B235" s="72" t="s">
        <v>268</v>
      </c>
      <c r="C235" s="85">
        <v>1</v>
      </c>
      <c r="D235" s="86">
        <v>1500</v>
      </c>
      <c r="E235" s="74">
        <f t="shared" ref="E235:E241" si="15">C235*D235</f>
        <v>1500</v>
      </c>
      <c r="F235" s="392"/>
    </row>
    <row r="236" spans="1:10" x14ac:dyDescent="0.25">
      <c r="A236" s="389"/>
      <c r="B236" s="72" t="s">
        <v>269</v>
      </c>
      <c r="C236" s="73">
        <v>1</v>
      </c>
      <c r="D236" s="74">
        <v>600</v>
      </c>
      <c r="E236" s="74">
        <f t="shared" si="15"/>
        <v>600</v>
      </c>
      <c r="F236" s="392"/>
    </row>
    <row r="237" spans="1:10" ht="15.75" thickBot="1" x14ac:dyDescent="0.3">
      <c r="A237" s="390"/>
      <c r="B237" s="79" t="s">
        <v>270</v>
      </c>
      <c r="C237" s="98">
        <v>1</v>
      </c>
      <c r="D237" s="82">
        <v>450</v>
      </c>
      <c r="E237" s="82">
        <f t="shared" si="15"/>
        <v>450</v>
      </c>
      <c r="F237" s="393"/>
    </row>
    <row r="238" spans="1:10" ht="15.75" thickBot="1" x14ac:dyDescent="0.3">
      <c r="A238" s="218">
        <v>4220</v>
      </c>
      <c r="B238" s="258" t="s">
        <v>41</v>
      </c>
      <c r="C238" s="103">
        <v>1</v>
      </c>
      <c r="D238" s="104">
        <v>203000</v>
      </c>
      <c r="E238" s="104">
        <f t="shared" si="15"/>
        <v>203000</v>
      </c>
      <c r="F238" s="105">
        <f>E238</f>
        <v>203000</v>
      </c>
    </row>
    <row r="239" spans="1:10" ht="15.75" thickBot="1" x14ac:dyDescent="0.3">
      <c r="A239" s="66">
        <v>4280</v>
      </c>
      <c r="B239" s="112" t="s">
        <v>36</v>
      </c>
      <c r="C239" s="113">
        <v>1</v>
      </c>
      <c r="D239" s="114">
        <v>450</v>
      </c>
      <c r="E239" s="114">
        <f>C239*D239</f>
        <v>450</v>
      </c>
      <c r="F239" s="75">
        <f>E239</f>
        <v>450</v>
      </c>
    </row>
    <row r="240" spans="1:10" ht="15.75" thickBot="1" x14ac:dyDescent="0.3">
      <c r="A240" s="101">
        <v>4440</v>
      </c>
      <c r="B240" s="102" t="s">
        <v>173</v>
      </c>
      <c r="C240" s="103">
        <v>1</v>
      </c>
      <c r="D240" s="104">
        <v>31490</v>
      </c>
      <c r="E240" s="104">
        <f t="shared" si="15"/>
        <v>31490</v>
      </c>
      <c r="F240" s="105">
        <f>E240</f>
        <v>31490</v>
      </c>
    </row>
    <row r="241" spans="1:6" ht="26.25" thickBot="1" x14ac:dyDescent="0.3">
      <c r="A241" s="78">
        <v>4710</v>
      </c>
      <c r="B241" s="154" t="s">
        <v>38</v>
      </c>
      <c r="C241" s="123">
        <v>1</v>
      </c>
      <c r="D241" s="124">
        <v>0</v>
      </c>
      <c r="E241" s="124">
        <f t="shared" si="15"/>
        <v>0</v>
      </c>
      <c r="F241" s="83">
        <f>E241</f>
        <v>0</v>
      </c>
    </row>
    <row r="242" spans="1:6" x14ac:dyDescent="0.25">
      <c r="A242" s="410"/>
      <c r="B242" s="411"/>
      <c r="C242" s="411"/>
      <c r="D242" s="411"/>
      <c r="E242" s="411"/>
      <c r="F242" s="412"/>
    </row>
    <row r="243" spans="1:6" ht="77.25" thickBot="1" x14ac:dyDescent="0.3">
      <c r="A243" s="173">
        <v>801</v>
      </c>
      <c r="B243" s="256" t="s">
        <v>271</v>
      </c>
      <c r="C243" s="175"/>
      <c r="D243" s="176"/>
      <c r="E243" s="176">
        <f>E244+E249+E256++E263+E274+E265+E264</f>
        <v>80036</v>
      </c>
      <c r="F243" s="177">
        <f>SUM(F244:F274)</f>
        <v>80036</v>
      </c>
    </row>
    <row r="244" spans="1:6" x14ac:dyDescent="0.25">
      <c r="A244" s="388">
        <v>4010</v>
      </c>
      <c r="B244" s="67" t="s">
        <v>285</v>
      </c>
      <c r="C244" s="58"/>
      <c r="D244" s="59"/>
      <c r="E244" s="59">
        <f>SUM(E245:E247)</f>
        <v>34272</v>
      </c>
      <c r="F244" s="391">
        <f>E244</f>
        <v>34272</v>
      </c>
    </row>
    <row r="245" spans="1:6" x14ac:dyDescent="0.25">
      <c r="A245" s="389"/>
      <c r="B245" s="72" t="s">
        <v>286</v>
      </c>
      <c r="C245" s="73">
        <v>12</v>
      </c>
      <c r="D245" s="74">
        <v>2856</v>
      </c>
      <c r="E245" s="74">
        <f>C245*D245</f>
        <v>34272</v>
      </c>
      <c r="F245" s="392"/>
    </row>
    <row r="246" spans="1:6" ht="1.5" customHeight="1" x14ac:dyDescent="0.25">
      <c r="A246" s="389"/>
      <c r="B246" s="72"/>
      <c r="C246" s="73">
        <v>12</v>
      </c>
      <c r="D246" s="74">
        <v>0</v>
      </c>
      <c r="E246" s="74">
        <f>ROUND(C246*D246,0)</f>
        <v>0</v>
      </c>
      <c r="F246" s="392"/>
    </row>
    <row r="247" spans="1:6" ht="15.75" hidden="1" customHeight="1" thickBot="1" x14ac:dyDescent="0.3">
      <c r="A247" s="413"/>
      <c r="B247" s="79"/>
      <c r="C247" s="73">
        <v>1</v>
      </c>
      <c r="D247" s="74">
        <v>0</v>
      </c>
      <c r="E247" s="74">
        <f>C247*D247</f>
        <v>0</v>
      </c>
      <c r="F247" s="393"/>
    </row>
    <row r="248" spans="1:6" ht="15.75" thickBot="1" x14ac:dyDescent="0.3">
      <c r="A248" s="71">
        <v>4040</v>
      </c>
      <c r="B248" s="264" t="s">
        <v>287</v>
      </c>
      <c r="C248" s="85">
        <v>1</v>
      </c>
      <c r="D248" s="86">
        <v>2600</v>
      </c>
      <c r="E248" s="265">
        <f>D248</f>
        <v>2600</v>
      </c>
      <c r="F248" s="75"/>
    </row>
    <row r="249" spans="1:6" x14ac:dyDescent="0.25">
      <c r="A249" s="388">
        <v>4110</v>
      </c>
      <c r="B249" s="67" t="s">
        <v>124</v>
      </c>
      <c r="C249" s="58"/>
      <c r="D249" s="59"/>
      <c r="E249" s="59">
        <f>SUM(E250:E255)</f>
        <v>6866</v>
      </c>
      <c r="F249" s="391">
        <f>E249</f>
        <v>6866</v>
      </c>
    </row>
    <row r="250" spans="1:6" x14ac:dyDescent="0.25">
      <c r="A250" s="389"/>
      <c r="B250" s="72" t="s">
        <v>288</v>
      </c>
      <c r="C250" s="73">
        <v>12</v>
      </c>
      <c r="D250" s="76">
        <v>491</v>
      </c>
      <c r="E250" s="74">
        <f t="shared" ref="E250:E255" si="16">ROUND(C250*D250,0)</f>
        <v>5892</v>
      </c>
      <c r="F250" s="392"/>
    </row>
    <row r="251" spans="1:6" x14ac:dyDescent="0.25">
      <c r="A251" s="389"/>
      <c r="B251" s="108" t="s">
        <v>147</v>
      </c>
      <c r="C251" s="73">
        <v>12</v>
      </c>
      <c r="D251" s="76">
        <f>D266*$H$1</f>
        <v>0</v>
      </c>
      <c r="E251" s="74">
        <f t="shared" si="16"/>
        <v>0</v>
      </c>
      <c r="F251" s="392"/>
    </row>
    <row r="252" spans="1:6" x14ac:dyDescent="0.25">
      <c r="A252" s="389"/>
      <c r="B252" s="108" t="s">
        <v>148</v>
      </c>
      <c r="C252" s="73">
        <v>12</v>
      </c>
      <c r="D252" s="76">
        <f>D267*$H$1</f>
        <v>0</v>
      </c>
      <c r="E252" s="74">
        <f t="shared" si="16"/>
        <v>0</v>
      </c>
      <c r="F252" s="392"/>
    </row>
    <row r="253" spans="1:6" x14ac:dyDescent="0.25">
      <c r="A253" s="389"/>
      <c r="B253" s="108" t="s">
        <v>149</v>
      </c>
      <c r="C253" s="73">
        <v>1</v>
      </c>
      <c r="D253" s="76">
        <f>D268*$H$1</f>
        <v>526.80000000000007</v>
      </c>
      <c r="E253" s="74">
        <f t="shared" si="16"/>
        <v>527</v>
      </c>
      <c r="F253" s="392"/>
    </row>
    <row r="254" spans="1:6" x14ac:dyDescent="0.25">
      <c r="A254" s="389"/>
      <c r="B254" s="108" t="s">
        <v>217</v>
      </c>
      <c r="C254" s="73">
        <v>1</v>
      </c>
      <c r="D254" s="76">
        <f>D269*$H$1</f>
        <v>0</v>
      </c>
      <c r="E254" s="74">
        <f t="shared" si="16"/>
        <v>0</v>
      </c>
      <c r="F254" s="392"/>
    </row>
    <row r="255" spans="1:6" ht="15.75" thickBot="1" x14ac:dyDescent="0.3">
      <c r="A255" s="390"/>
      <c r="B255" s="72" t="s">
        <v>289</v>
      </c>
      <c r="C255" s="73">
        <v>1</v>
      </c>
      <c r="D255" s="74">
        <v>447</v>
      </c>
      <c r="E255" s="74">
        <f t="shared" si="16"/>
        <v>447</v>
      </c>
      <c r="F255" s="393"/>
    </row>
    <row r="256" spans="1:6" x14ac:dyDescent="0.25">
      <c r="A256" s="388">
        <v>4120</v>
      </c>
      <c r="B256" s="155" t="s">
        <v>152</v>
      </c>
      <c r="C256" s="58"/>
      <c r="D256" s="59"/>
      <c r="E256" s="59">
        <f>SUM(E257:E262)</f>
        <v>904</v>
      </c>
      <c r="F256" s="391">
        <f>E256</f>
        <v>904</v>
      </c>
    </row>
    <row r="257" spans="1:6" x14ac:dyDescent="0.25">
      <c r="A257" s="389"/>
      <c r="B257" s="72" t="s">
        <v>195</v>
      </c>
      <c r="C257" s="73">
        <v>12</v>
      </c>
      <c r="D257" s="76">
        <v>70</v>
      </c>
      <c r="E257" s="74">
        <f t="shared" ref="E257:E262" si="17">ROUND(C257*D257,0)</f>
        <v>840</v>
      </c>
      <c r="F257" s="392"/>
    </row>
    <row r="258" spans="1:6" x14ac:dyDescent="0.25">
      <c r="A258" s="389"/>
      <c r="B258" s="108" t="s">
        <v>196</v>
      </c>
      <c r="C258" s="73">
        <v>12</v>
      </c>
      <c r="D258" s="76">
        <f>D246*$H$3</f>
        <v>0</v>
      </c>
      <c r="E258" s="74">
        <f t="shared" si="17"/>
        <v>0</v>
      </c>
      <c r="F258" s="392"/>
    </row>
    <row r="259" spans="1:6" x14ac:dyDescent="0.25">
      <c r="A259" s="389"/>
      <c r="B259" s="108" t="s">
        <v>218</v>
      </c>
      <c r="C259" s="73">
        <v>12</v>
      </c>
      <c r="D259" s="76">
        <f>D247*$H$3</f>
        <v>0</v>
      </c>
      <c r="E259" s="74">
        <f t="shared" si="17"/>
        <v>0</v>
      </c>
      <c r="F259" s="392"/>
    </row>
    <row r="260" spans="1:6" x14ac:dyDescent="0.25">
      <c r="A260" s="389"/>
      <c r="B260" s="108" t="s">
        <v>198</v>
      </c>
      <c r="C260" s="73">
        <v>1</v>
      </c>
      <c r="D260" s="76">
        <f>D249*$H$3</f>
        <v>0</v>
      </c>
      <c r="E260" s="74">
        <f t="shared" si="17"/>
        <v>0</v>
      </c>
      <c r="F260" s="392"/>
    </row>
    <row r="261" spans="1:6" x14ac:dyDescent="0.25">
      <c r="A261" s="389"/>
      <c r="B261" s="108" t="s">
        <v>290</v>
      </c>
      <c r="C261" s="73">
        <v>1</v>
      </c>
      <c r="D261" s="76">
        <v>64</v>
      </c>
      <c r="E261" s="74">
        <f t="shared" si="17"/>
        <v>64</v>
      </c>
      <c r="F261" s="392"/>
    </row>
    <row r="262" spans="1:6" ht="15.75" thickBot="1" x14ac:dyDescent="0.3">
      <c r="A262" s="390"/>
      <c r="B262" s="108"/>
      <c r="C262" s="107"/>
      <c r="D262" s="109"/>
      <c r="E262" s="109">
        <f t="shared" si="17"/>
        <v>0</v>
      </c>
      <c r="F262" s="393"/>
    </row>
    <row r="263" spans="1:6" ht="15.75" thickBot="1" x14ac:dyDescent="0.3">
      <c r="A263" s="101">
        <v>4440</v>
      </c>
      <c r="B263" s="102" t="s">
        <v>173</v>
      </c>
      <c r="C263" s="103">
        <v>1</v>
      </c>
      <c r="D263" s="104">
        <v>1665</v>
      </c>
      <c r="E263" s="104">
        <f>C263*D263</f>
        <v>1665</v>
      </c>
      <c r="F263" s="105">
        <f>E263</f>
        <v>1665</v>
      </c>
    </row>
    <row r="264" spans="1:6" ht="26.25" thickBot="1" x14ac:dyDescent="0.3">
      <c r="A264" s="78">
        <v>4710</v>
      </c>
      <c r="B264" s="154" t="s">
        <v>38</v>
      </c>
      <c r="C264" s="123">
        <v>1</v>
      </c>
      <c r="D264" s="124">
        <v>329</v>
      </c>
      <c r="E264" s="124">
        <f>C264*D264</f>
        <v>329</v>
      </c>
      <c r="F264" s="83">
        <f>E264</f>
        <v>329</v>
      </c>
    </row>
    <row r="265" spans="1:6" x14ac:dyDescent="0.25">
      <c r="A265" s="388">
        <v>4790</v>
      </c>
      <c r="B265" s="67" t="s">
        <v>220</v>
      </c>
      <c r="C265" s="58"/>
      <c r="D265" s="59"/>
      <c r="E265" s="59">
        <f>SUM(E266:E273)</f>
        <v>36000</v>
      </c>
      <c r="F265" s="391">
        <f>E265</f>
        <v>36000</v>
      </c>
    </row>
    <row r="266" spans="1:6" x14ac:dyDescent="0.25">
      <c r="A266" s="389"/>
      <c r="B266" s="119" t="s">
        <v>273</v>
      </c>
      <c r="C266" s="73">
        <v>12</v>
      </c>
      <c r="D266" s="74"/>
      <c r="E266" s="74">
        <f>C266*D266</f>
        <v>0</v>
      </c>
      <c r="F266" s="392"/>
    </row>
    <row r="267" spans="1:6" x14ac:dyDescent="0.25">
      <c r="A267" s="389"/>
      <c r="B267" s="119" t="s">
        <v>274</v>
      </c>
      <c r="C267" s="88">
        <v>0.01</v>
      </c>
      <c r="D267" s="76">
        <v>0</v>
      </c>
      <c r="E267" s="74">
        <v>0</v>
      </c>
      <c r="F267" s="392"/>
    </row>
    <row r="268" spans="1:6" x14ac:dyDescent="0.25">
      <c r="A268" s="389"/>
      <c r="B268" s="120" t="s">
        <v>184</v>
      </c>
      <c r="C268" s="73">
        <v>12</v>
      </c>
      <c r="D268" s="74">
        <v>3000</v>
      </c>
      <c r="E268" s="74">
        <f>C268*D268</f>
        <v>36000</v>
      </c>
      <c r="F268" s="392"/>
    </row>
    <row r="269" spans="1:6" x14ac:dyDescent="0.25">
      <c r="A269" s="389"/>
      <c r="B269" s="108"/>
      <c r="C269" s="73"/>
      <c r="D269" s="74"/>
      <c r="E269" s="74">
        <f>ROUND(C269*D269,0)</f>
        <v>0</v>
      </c>
      <c r="F269" s="392"/>
    </row>
    <row r="270" spans="1:6" x14ac:dyDescent="0.25">
      <c r="A270" s="389"/>
      <c r="B270" s="72"/>
      <c r="C270" s="73"/>
      <c r="D270" s="74"/>
      <c r="E270" s="74">
        <f>C270*D270</f>
        <v>0</v>
      </c>
      <c r="F270" s="392"/>
    </row>
    <row r="271" spans="1:6" x14ac:dyDescent="0.25">
      <c r="A271" s="389"/>
      <c r="B271" s="72" t="s">
        <v>185</v>
      </c>
      <c r="C271" s="73">
        <v>1</v>
      </c>
      <c r="D271" s="74">
        <v>0</v>
      </c>
      <c r="E271" s="74">
        <f>C271*D271</f>
        <v>0</v>
      </c>
      <c r="F271" s="392"/>
    </row>
    <row r="272" spans="1:6" x14ac:dyDescent="0.25">
      <c r="A272" s="389"/>
      <c r="B272" s="121" t="s">
        <v>208</v>
      </c>
      <c r="C272" s="73">
        <v>1</v>
      </c>
      <c r="D272" s="74">
        <v>0</v>
      </c>
      <c r="E272" s="74">
        <f>C272*D272</f>
        <v>0</v>
      </c>
      <c r="F272" s="392"/>
    </row>
    <row r="273" spans="1:10" ht="15.75" thickBot="1" x14ac:dyDescent="0.3">
      <c r="A273" s="390"/>
      <c r="B273" s="121" t="s">
        <v>203</v>
      </c>
      <c r="C273" s="73">
        <v>1</v>
      </c>
      <c r="D273" s="74">
        <v>0</v>
      </c>
      <c r="E273" s="74">
        <f>C273*D273</f>
        <v>0</v>
      </c>
      <c r="F273" s="393"/>
    </row>
    <row r="274" spans="1:10" ht="15.75" thickBot="1" x14ac:dyDescent="0.3">
      <c r="A274" s="144">
        <v>4800</v>
      </c>
      <c r="B274" s="115" t="s">
        <v>101</v>
      </c>
      <c r="C274" s="103">
        <v>1</v>
      </c>
      <c r="D274" s="104">
        <v>0</v>
      </c>
      <c r="E274" s="104">
        <f>C274*D274</f>
        <v>0</v>
      </c>
      <c r="F274" s="105">
        <f>E274</f>
        <v>0</v>
      </c>
    </row>
    <row r="275" spans="1:10" x14ac:dyDescent="0.25">
      <c r="A275" s="410"/>
      <c r="B275" s="411"/>
      <c r="C275" s="411"/>
      <c r="D275" s="411"/>
      <c r="E275" s="411"/>
      <c r="F275" s="412"/>
    </row>
    <row r="276" spans="1:10" ht="51.75" thickBot="1" x14ac:dyDescent="0.3">
      <c r="A276" s="173">
        <v>801</v>
      </c>
      <c r="B276" s="256" t="s">
        <v>215</v>
      </c>
      <c r="C276" s="175"/>
      <c r="D276" s="176"/>
      <c r="E276" s="176">
        <f>E277+E281+E288+E295+E296+E297+E307+E298</f>
        <v>515368</v>
      </c>
      <c r="F276" s="177">
        <f>SUM(F277:F307)</f>
        <v>515368</v>
      </c>
    </row>
    <row r="277" spans="1:10" x14ac:dyDescent="0.25">
      <c r="A277" s="388">
        <v>3020</v>
      </c>
      <c r="B277" s="67" t="s">
        <v>216</v>
      </c>
      <c r="C277" s="58"/>
      <c r="D277" s="59"/>
      <c r="E277" s="59">
        <f>SUM(E278:E280)</f>
        <v>17400</v>
      </c>
      <c r="F277" s="391">
        <f>E277</f>
        <v>17400</v>
      </c>
      <c r="H277" s="178"/>
      <c r="I277" s="165"/>
      <c r="J277" s="179"/>
    </row>
    <row r="278" spans="1:10" x14ac:dyDescent="0.25">
      <c r="A278" s="389"/>
      <c r="B278" s="72" t="s">
        <v>272</v>
      </c>
      <c r="C278" s="73">
        <v>12</v>
      </c>
      <c r="D278" s="74">
        <v>1450</v>
      </c>
      <c r="E278" s="74">
        <f>C278*D278</f>
        <v>17400</v>
      </c>
      <c r="F278" s="392"/>
      <c r="H278" s="178"/>
      <c r="I278" s="165"/>
      <c r="J278" s="179"/>
    </row>
    <row r="279" spans="1:10" x14ac:dyDescent="0.25">
      <c r="A279" s="389"/>
      <c r="B279" s="72"/>
      <c r="C279" s="73"/>
      <c r="D279" s="74">
        <v>0</v>
      </c>
      <c r="E279" s="74">
        <f>ROUND(C279*D279,0)</f>
        <v>0</v>
      </c>
      <c r="F279" s="392"/>
      <c r="H279" s="178"/>
      <c r="I279" s="165"/>
      <c r="J279" s="179"/>
    </row>
    <row r="280" spans="1:10" ht="15.75" thickBot="1" x14ac:dyDescent="0.3">
      <c r="A280" s="390"/>
      <c r="B280" s="79"/>
      <c r="C280" s="73"/>
      <c r="D280" s="74">
        <v>0</v>
      </c>
      <c r="E280" s="74">
        <f>C280*D280</f>
        <v>0</v>
      </c>
      <c r="F280" s="393"/>
      <c r="H280" s="178"/>
      <c r="I280" s="165"/>
      <c r="J280" s="179"/>
    </row>
    <row r="281" spans="1:10" x14ac:dyDescent="0.25">
      <c r="A281" s="388">
        <v>4110</v>
      </c>
      <c r="B281" s="67" t="s">
        <v>124</v>
      </c>
      <c r="C281" s="58"/>
      <c r="D281" s="59"/>
      <c r="E281" s="59">
        <f>SUM(E282:E287)</f>
        <v>70931</v>
      </c>
      <c r="F281" s="391">
        <f>E281</f>
        <v>70931</v>
      </c>
      <c r="H281" s="178"/>
      <c r="I281" s="165"/>
      <c r="J281" s="179"/>
    </row>
    <row r="282" spans="1:10" x14ac:dyDescent="0.25">
      <c r="A282" s="389"/>
      <c r="B282" s="72" t="s">
        <v>145</v>
      </c>
      <c r="C282" s="73">
        <v>12</v>
      </c>
      <c r="D282" s="76">
        <f>D278*H1</f>
        <v>254.62</v>
      </c>
      <c r="E282" s="74">
        <f t="shared" ref="E282:E287" si="18">ROUND(C282*D282,0)</f>
        <v>3055</v>
      </c>
      <c r="F282" s="392"/>
      <c r="H282" s="178"/>
      <c r="I282" s="165"/>
      <c r="J282" s="179"/>
    </row>
    <row r="283" spans="1:10" x14ac:dyDescent="0.25">
      <c r="A283" s="389"/>
      <c r="B283" s="108" t="s">
        <v>147</v>
      </c>
      <c r="C283" s="73">
        <v>12</v>
      </c>
      <c r="D283" s="76">
        <v>3043</v>
      </c>
      <c r="E283" s="74">
        <f t="shared" si="18"/>
        <v>36516</v>
      </c>
      <c r="F283" s="392"/>
      <c r="H283" s="178"/>
      <c r="I283" s="165"/>
      <c r="J283" s="179"/>
    </row>
    <row r="284" spans="1:10" x14ac:dyDescent="0.25">
      <c r="A284" s="389"/>
      <c r="B284" s="108" t="s">
        <v>148</v>
      </c>
      <c r="C284" s="73">
        <v>12</v>
      </c>
      <c r="D284" s="76">
        <v>2230</v>
      </c>
      <c r="E284" s="74">
        <f t="shared" si="18"/>
        <v>26760</v>
      </c>
      <c r="F284" s="392"/>
      <c r="H284" s="178"/>
      <c r="I284" s="165"/>
      <c r="J284" s="179"/>
    </row>
    <row r="285" spans="1:10" x14ac:dyDescent="0.25">
      <c r="A285" s="389"/>
      <c r="B285" s="108" t="s">
        <v>149</v>
      </c>
      <c r="C285" s="73">
        <v>1</v>
      </c>
      <c r="D285" s="76">
        <v>4000</v>
      </c>
      <c r="E285" s="74">
        <f t="shared" si="18"/>
        <v>4000</v>
      </c>
      <c r="F285" s="392"/>
      <c r="H285" s="178"/>
      <c r="I285" s="165"/>
      <c r="J285" s="179"/>
    </row>
    <row r="286" spans="1:10" x14ac:dyDescent="0.25">
      <c r="A286" s="389"/>
      <c r="B286" s="108" t="s">
        <v>217</v>
      </c>
      <c r="C286" s="73">
        <v>1</v>
      </c>
      <c r="D286" s="76">
        <v>600</v>
      </c>
      <c r="E286" s="74">
        <f t="shared" si="18"/>
        <v>600</v>
      </c>
      <c r="F286" s="392"/>
      <c r="H286" s="178"/>
      <c r="I286" s="165"/>
      <c r="J286" s="179"/>
    </row>
    <row r="287" spans="1:10" ht="15.75" thickBot="1" x14ac:dyDescent="0.3">
      <c r="A287" s="390"/>
      <c r="B287" s="72"/>
      <c r="C287" s="73">
        <v>0</v>
      </c>
      <c r="D287" s="74"/>
      <c r="E287" s="74">
        <f t="shared" si="18"/>
        <v>0</v>
      </c>
      <c r="F287" s="393"/>
      <c r="H287" s="178"/>
      <c r="I287" s="165"/>
      <c r="J287" s="179"/>
    </row>
    <row r="288" spans="1:10" x14ac:dyDescent="0.25">
      <c r="A288" s="388">
        <v>4120</v>
      </c>
      <c r="B288" s="155" t="s">
        <v>152</v>
      </c>
      <c r="C288" s="58"/>
      <c r="D288" s="59"/>
      <c r="E288" s="59">
        <f>SUM(E289:E294)</f>
        <v>9609</v>
      </c>
      <c r="F288" s="391">
        <f>E288</f>
        <v>9609</v>
      </c>
      <c r="H288" s="178"/>
      <c r="I288" s="165"/>
      <c r="J288" s="179"/>
    </row>
    <row r="289" spans="1:10" x14ac:dyDescent="0.25">
      <c r="A289" s="389"/>
      <c r="B289" s="72" t="s">
        <v>195</v>
      </c>
      <c r="C289" s="73">
        <v>12</v>
      </c>
      <c r="D289" s="76">
        <f>D278*H3</f>
        <v>35.524999999999999</v>
      </c>
      <c r="E289" s="74">
        <f t="shared" ref="E289:E294" si="19">ROUND(C289*D289,0)</f>
        <v>426</v>
      </c>
      <c r="F289" s="392"/>
      <c r="H289" s="178"/>
      <c r="I289" s="165"/>
      <c r="J289" s="179"/>
    </row>
    <row r="290" spans="1:10" x14ac:dyDescent="0.25">
      <c r="A290" s="389"/>
      <c r="B290" s="108" t="s">
        <v>196</v>
      </c>
      <c r="C290" s="73">
        <v>12</v>
      </c>
      <c r="D290" s="76">
        <v>434</v>
      </c>
      <c r="E290" s="74">
        <f t="shared" si="19"/>
        <v>5208</v>
      </c>
      <c r="F290" s="392"/>
      <c r="H290" s="178"/>
      <c r="I290" s="165"/>
      <c r="J290" s="179"/>
    </row>
    <row r="291" spans="1:10" x14ac:dyDescent="0.25">
      <c r="A291" s="389"/>
      <c r="B291" s="108" t="s">
        <v>218</v>
      </c>
      <c r="C291" s="73">
        <v>12</v>
      </c>
      <c r="D291" s="76">
        <v>316</v>
      </c>
      <c r="E291" s="74">
        <f t="shared" si="19"/>
        <v>3792</v>
      </c>
      <c r="F291" s="392"/>
      <c r="H291" s="178"/>
      <c r="I291" s="165"/>
      <c r="J291" s="179"/>
    </row>
    <row r="292" spans="1:10" x14ac:dyDescent="0.25">
      <c r="A292" s="389"/>
      <c r="B292" s="108" t="s">
        <v>198</v>
      </c>
      <c r="C292" s="73">
        <v>1</v>
      </c>
      <c r="D292" s="76">
        <v>98</v>
      </c>
      <c r="E292" s="74">
        <f t="shared" si="19"/>
        <v>98</v>
      </c>
      <c r="F292" s="392"/>
      <c r="H292" s="178"/>
      <c r="I292" s="165"/>
      <c r="J292" s="179"/>
    </row>
    <row r="293" spans="1:10" x14ac:dyDescent="0.25">
      <c r="A293" s="389"/>
      <c r="B293" s="108" t="s">
        <v>219</v>
      </c>
      <c r="C293" s="73">
        <v>1</v>
      </c>
      <c r="D293" s="76">
        <v>85.11</v>
      </c>
      <c r="E293" s="74">
        <f t="shared" si="19"/>
        <v>85</v>
      </c>
      <c r="F293" s="392"/>
      <c r="H293" s="178"/>
      <c r="I293" s="165"/>
      <c r="J293" s="179"/>
    </row>
    <row r="294" spans="1:10" ht="15.75" thickBot="1" x14ac:dyDescent="0.3">
      <c r="A294" s="390"/>
      <c r="B294" s="108"/>
      <c r="C294" s="107"/>
      <c r="D294" s="109"/>
      <c r="E294" s="109">
        <f t="shared" si="19"/>
        <v>0</v>
      </c>
      <c r="F294" s="393"/>
      <c r="H294" s="178"/>
      <c r="I294" s="165"/>
      <c r="J294" s="179"/>
    </row>
    <row r="295" spans="1:10" ht="15.75" thickBot="1" x14ac:dyDescent="0.3">
      <c r="A295" s="101">
        <v>4280</v>
      </c>
      <c r="B295" s="102" t="s">
        <v>36</v>
      </c>
      <c r="C295" s="103">
        <v>0</v>
      </c>
      <c r="D295" s="104">
        <v>0</v>
      </c>
      <c r="E295" s="104">
        <f>C295*D295</f>
        <v>0</v>
      </c>
      <c r="F295" s="105">
        <f>E295</f>
        <v>0</v>
      </c>
    </row>
    <row r="296" spans="1:10" ht="15.75" thickBot="1" x14ac:dyDescent="0.3">
      <c r="A296" s="101">
        <v>4300</v>
      </c>
      <c r="B296" s="102" t="s">
        <v>37</v>
      </c>
      <c r="C296" s="103">
        <v>12</v>
      </c>
      <c r="D296" s="104">
        <v>1500</v>
      </c>
      <c r="E296" s="104">
        <f>C296*D296</f>
        <v>18000</v>
      </c>
      <c r="F296" s="105">
        <f>E296</f>
        <v>18000</v>
      </c>
    </row>
    <row r="297" spans="1:10" ht="15.75" thickBot="1" x14ac:dyDescent="0.3">
      <c r="A297" s="71">
        <v>4440</v>
      </c>
      <c r="B297" s="112" t="s">
        <v>173</v>
      </c>
      <c r="C297" s="113">
        <v>1</v>
      </c>
      <c r="D297" s="114">
        <v>24553</v>
      </c>
      <c r="E297" s="114">
        <f>C297*D297</f>
        <v>24553</v>
      </c>
      <c r="F297" s="75">
        <f>E297</f>
        <v>24553</v>
      </c>
    </row>
    <row r="298" spans="1:10" x14ac:dyDescent="0.25">
      <c r="A298" s="388">
        <v>4790</v>
      </c>
      <c r="B298" s="67" t="s">
        <v>220</v>
      </c>
      <c r="C298" s="58"/>
      <c r="D298" s="59"/>
      <c r="E298" s="59">
        <f>SUM(E299:E306)</f>
        <v>374875</v>
      </c>
      <c r="F298" s="391">
        <f>E298</f>
        <v>374875</v>
      </c>
      <c r="H298" s="178"/>
      <c r="I298" s="165"/>
      <c r="J298" s="179"/>
    </row>
    <row r="299" spans="1:10" x14ac:dyDescent="0.25">
      <c r="A299" s="389"/>
      <c r="B299" s="119" t="s">
        <v>182</v>
      </c>
      <c r="C299" s="73">
        <v>12</v>
      </c>
      <c r="D299" s="74">
        <v>17700</v>
      </c>
      <c r="E299" s="74">
        <f>C299*D299</f>
        <v>212400</v>
      </c>
      <c r="F299" s="392"/>
      <c r="H299" s="178"/>
      <c r="I299" s="165"/>
      <c r="J299" s="179"/>
    </row>
    <row r="300" spans="1:10" x14ac:dyDescent="0.25">
      <c r="A300" s="389"/>
      <c r="B300" s="119" t="s">
        <v>183</v>
      </c>
      <c r="C300" s="88">
        <v>0.01</v>
      </c>
      <c r="D300" s="76">
        <v>3675</v>
      </c>
      <c r="E300" s="74">
        <f>D300</f>
        <v>3675</v>
      </c>
      <c r="F300" s="392"/>
      <c r="H300" s="178"/>
      <c r="I300" s="165"/>
      <c r="J300" s="179"/>
    </row>
    <row r="301" spans="1:10" x14ac:dyDescent="0.25">
      <c r="A301" s="389"/>
      <c r="B301" s="120" t="s">
        <v>184</v>
      </c>
      <c r="C301" s="73">
        <v>12</v>
      </c>
      <c r="D301" s="74">
        <v>12900</v>
      </c>
      <c r="E301" s="74">
        <f t="shared" ref="E301:E307" si="20">C301*D301</f>
        <v>154800</v>
      </c>
      <c r="F301" s="392"/>
    </row>
    <row r="302" spans="1:10" x14ac:dyDescent="0.25">
      <c r="A302" s="389"/>
      <c r="B302" s="108"/>
      <c r="C302" s="73"/>
      <c r="D302" s="74"/>
      <c r="E302" s="74">
        <f>ROUND(C302*D302,0)</f>
        <v>0</v>
      </c>
      <c r="F302" s="392"/>
      <c r="H302" s="178"/>
      <c r="I302" s="165"/>
      <c r="J302" s="179"/>
    </row>
    <row r="303" spans="1:10" x14ac:dyDescent="0.25">
      <c r="A303" s="389"/>
      <c r="B303" s="72"/>
      <c r="C303" s="73"/>
      <c r="D303" s="74"/>
      <c r="E303" s="74">
        <f t="shared" si="20"/>
        <v>0</v>
      </c>
      <c r="F303" s="392"/>
      <c r="H303" s="178"/>
      <c r="I303" s="165"/>
      <c r="J303" s="179"/>
    </row>
    <row r="304" spans="1:10" x14ac:dyDescent="0.25">
      <c r="A304" s="389"/>
      <c r="B304" s="72" t="s">
        <v>185</v>
      </c>
      <c r="C304" s="73">
        <v>1</v>
      </c>
      <c r="D304" s="74">
        <v>4000</v>
      </c>
      <c r="E304" s="74">
        <f t="shared" si="20"/>
        <v>4000</v>
      </c>
      <c r="F304" s="392"/>
      <c r="H304" s="178"/>
      <c r="I304" s="165"/>
      <c r="J304" s="179"/>
    </row>
    <row r="305" spans="1:10" x14ac:dyDescent="0.25">
      <c r="A305" s="389"/>
      <c r="B305" s="121" t="s">
        <v>208</v>
      </c>
      <c r="C305" s="73">
        <v>1</v>
      </c>
      <c r="D305" s="74">
        <v>0</v>
      </c>
      <c r="E305" s="74">
        <f t="shared" si="20"/>
        <v>0</v>
      </c>
      <c r="F305" s="392"/>
      <c r="H305" s="178"/>
      <c r="I305" s="165"/>
      <c r="J305" s="179"/>
    </row>
    <row r="306" spans="1:10" ht="15.75" thickBot="1" x14ac:dyDescent="0.3">
      <c r="A306" s="390"/>
      <c r="B306" s="121" t="s">
        <v>203</v>
      </c>
      <c r="C306" s="73">
        <v>1</v>
      </c>
      <c r="D306" s="74">
        <v>0</v>
      </c>
      <c r="E306" s="74">
        <f t="shared" si="20"/>
        <v>0</v>
      </c>
      <c r="F306" s="393"/>
      <c r="H306" s="178"/>
      <c r="I306" s="165"/>
      <c r="J306" s="179"/>
    </row>
    <row r="307" spans="1:10" ht="15.75" thickBot="1" x14ac:dyDescent="0.3">
      <c r="A307" s="144">
        <v>4800</v>
      </c>
      <c r="B307" s="115" t="s">
        <v>101</v>
      </c>
      <c r="C307" s="103">
        <v>1</v>
      </c>
      <c r="D307" s="104">
        <v>0</v>
      </c>
      <c r="E307" s="104">
        <f t="shared" si="20"/>
        <v>0</v>
      </c>
      <c r="F307" s="105">
        <f>E307</f>
        <v>0</v>
      </c>
      <c r="H307" s="190"/>
      <c r="I307" s="190"/>
    </row>
    <row r="308" spans="1:10" x14ac:dyDescent="0.25">
      <c r="A308" s="417"/>
      <c r="B308" s="418"/>
      <c r="C308" s="418"/>
      <c r="D308" s="418"/>
      <c r="E308" s="418"/>
      <c r="F308" s="419"/>
    </row>
    <row r="309" spans="1:10" ht="51" x14ac:dyDescent="0.25">
      <c r="A309" s="259">
        <v>801</v>
      </c>
      <c r="B309" s="260" t="s">
        <v>222</v>
      </c>
      <c r="C309" s="261"/>
      <c r="D309" s="262"/>
      <c r="E309" s="262">
        <f>SUM(E311)</f>
        <v>0</v>
      </c>
      <c r="F309" s="263">
        <f>SUM(F310:F311)</f>
        <v>0</v>
      </c>
    </row>
    <row r="310" spans="1:10" x14ac:dyDescent="0.25">
      <c r="A310" s="156">
        <v>4210</v>
      </c>
      <c r="B310" s="157" t="s">
        <v>160</v>
      </c>
      <c r="C310" s="158">
        <v>0</v>
      </c>
      <c r="D310" s="159">
        <v>0</v>
      </c>
      <c r="E310" s="159">
        <f>C310*D310</f>
        <v>0</v>
      </c>
      <c r="F310" s="151">
        <f>E310</f>
        <v>0</v>
      </c>
    </row>
    <row r="311" spans="1:10" x14ac:dyDescent="0.25">
      <c r="A311" s="156">
        <v>4240</v>
      </c>
      <c r="B311" s="157" t="s">
        <v>223</v>
      </c>
      <c r="C311" s="158">
        <v>0</v>
      </c>
      <c r="D311" s="159">
        <v>0</v>
      </c>
      <c r="E311" s="159">
        <f>C311*D311</f>
        <v>0</v>
      </c>
      <c r="F311" s="151">
        <f>E311</f>
        <v>0</v>
      </c>
    </row>
    <row r="312" spans="1:10" ht="15.75" thickBot="1" x14ac:dyDescent="0.3">
      <c r="A312" s="152"/>
      <c r="B312" s="160"/>
      <c r="C312" s="161"/>
      <c r="D312" s="162"/>
      <c r="E312" s="162"/>
      <c r="F312" s="153"/>
    </row>
    <row r="313" spans="1:10" ht="15.75" thickBot="1" x14ac:dyDescent="0.3">
      <c r="A313" s="101"/>
      <c r="B313" s="103" t="s">
        <v>22</v>
      </c>
      <c r="C313" s="163"/>
      <c r="D313" s="147"/>
      <c r="E313" s="147">
        <f>SUM(E9+E211+E215+E276+E309+E177+E115+E243)</f>
        <v>12058155.25</v>
      </c>
      <c r="F313" s="147">
        <f>SUM(F9+F211+F215+F276+F177+F309+F115+F243)</f>
        <v>12058155.25</v>
      </c>
    </row>
    <row r="314" spans="1:10" x14ac:dyDescent="0.25">
      <c r="A314" s="420"/>
      <c r="B314" s="420"/>
      <c r="C314" s="420"/>
      <c r="D314" s="420"/>
      <c r="E314" s="420"/>
      <c r="F314" s="420"/>
    </row>
    <row r="315" spans="1:10" x14ac:dyDescent="0.25">
      <c r="A315" s="165"/>
      <c r="B315" s="164"/>
      <c r="C315" s="166"/>
      <c r="D315" s="166"/>
      <c r="E315" s="166"/>
      <c r="F315" s="166"/>
    </row>
    <row r="316" spans="1:10" ht="127.5" customHeight="1" x14ac:dyDescent="0.25">
      <c r="A316" s="414" t="s">
        <v>291</v>
      </c>
      <c r="B316" s="414"/>
      <c r="C316" s="414"/>
      <c r="D316" s="414"/>
      <c r="E316" s="414"/>
      <c r="F316" s="414"/>
    </row>
    <row r="317" spans="1:10" ht="127.5" customHeight="1" x14ac:dyDescent="0.25">
      <c r="A317" s="415"/>
      <c r="B317" s="416"/>
      <c r="C317" s="416"/>
      <c r="D317" s="416"/>
      <c r="E317" s="416"/>
      <c r="F317" s="416"/>
    </row>
  </sheetData>
  <mergeCells count="83">
    <mergeCell ref="A316:F316"/>
    <mergeCell ref="A317:F317"/>
    <mergeCell ref="A288:A294"/>
    <mergeCell ref="F288:F294"/>
    <mergeCell ref="A298:A306"/>
    <mergeCell ref="F298:F306"/>
    <mergeCell ref="A308:F308"/>
    <mergeCell ref="A314:F314"/>
    <mergeCell ref="A281:A287"/>
    <mergeCell ref="F281:F287"/>
    <mergeCell ref="A242:F242"/>
    <mergeCell ref="A244:A247"/>
    <mergeCell ref="F244:F247"/>
    <mergeCell ref="A249:A255"/>
    <mergeCell ref="F249:F255"/>
    <mergeCell ref="A256:A262"/>
    <mergeCell ref="F256:F262"/>
    <mergeCell ref="A265:A273"/>
    <mergeCell ref="F265:F273"/>
    <mergeCell ref="A275:F275"/>
    <mergeCell ref="A277:A280"/>
    <mergeCell ref="F277:F280"/>
    <mergeCell ref="A224:A227"/>
    <mergeCell ref="F224:F228"/>
    <mergeCell ref="A229:A232"/>
    <mergeCell ref="F229:F233"/>
    <mergeCell ref="A234:A237"/>
    <mergeCell ref="F234:F237"/>
    <mergeCell ref="A200:A208"/>
    <mergeCell ref="F200:F208"/>
    <mergeCell ref="A210:F210"/>
    <mergeCell ref="A214:F214"/>
    <mergeCell ref="A216:A222"/>
    <mergeCell ref="F216:F222"/>
    <mergeCell ref="A166:A174"/>
    <mergeCell ref="F166:F174"/>
    <mergeCell ref="A176:F176"/>
    <mergeCell ref="A178:F178"/>
    <mergeCell ref="A179:A182"/>
    <mergeCell ref="F179:F182"/>
    <mergeCell ref="F120:F126"/>
    <mergeCell ref="A128:A137"/>
    <mergeCell ref="F128:F137"/>
    <mergeCell ref="A138:A147"/>
    <mergeCell ref="F138:F147"/>
    <mergeCell ref="A1:F1"/>
    <mergeCell ref="A3:F3"/>
    <mergeCell ref="A10:A16"/>
    <mergeCell ref="F10:F16"/>
    <mergeCell ref="A17:A23"/>
    <mergeCell ref="F17:F23"/>
    <mergeCell ref="A25:A35"/>
    <mergeCell ref="F25:F35"/>
    <mergeCell ref="A36:A45"/>
    <mergeCell ref="A183:A190"/>
    <mergeCell ref="F183:F190"/>
    <mergeCell ref="F149:F151"/>
    <mergeCell ref="A152:A153"/>
    <mergeCell ref="F152:F153"/>
    <mergeCell ref="A102:A110"/>
    <mergeCell ref="F102:F110"/>
    <mergeCell ref="A116:A119"/>
    <mergeCell ref="F116:F119"/>
    <mergeCell ref="A92:A100"/>
    <mergeCell ref="F92:F100"/>
    <mergeCell ref="A47:A58"/>
    <mergeCell ref="F47:F58"/>
    <mergeCell ref="A59:A61"/>
    <mergeCell ref="F59:F61"/>
    <mergeCell ref="F36:F45"/>
    <mergeCell ref="A191:A198"/>
    <mergeCell ref="F191:F198"/>
    <mergeCell ref="A155:A157"/>
    <mergeCell ref="F155:F157"/>
    <mergeCell ref="A159:A165"/>
    <mergeCell ref="F159:F165"/>
    <mergeCell ref="A62:A65"/>
    <mergeCell ref="F62:F65"/>
    <mergeCell ref="A66:A68"/>
    <mergeCell ref="F66:F68"/>
    <mergeCell ref="A70:A85"/>
    <mergeCell ref="F70:F85"/>
    <mergeCell ref="A120:A126"/>
  </mergeCells>
  <conditionalFormatting sqref="C2:F4 E5:F5 C6:F17 E18:E23 C24:F25 E26:E35 C36:F36 E37:E45 C46:F47 C48:E58 C59:F62 C63:D65 C66:F66 C67:E68 C69:F70 C71:E85 C86:F92 C93:E101 F101 C102:F102 C103:E110 H111:I111 C111:F149 C150:E151 C152:F175 C177:F177 C179:F179 C180:E182 C183:F183 C184:E190 C191:F191 C192:E198 C199:F200 C201:E208 C209:F209 C211:F213 C215:F216 C217:D222 H223:I223 K223:M223 C223:F224 C225:E228 C229:F229 C230:E233 C234:F235 C236:E237 C238:F241 C243:F244 C245:E248 C249:F249 C250:E255 C256:F256 C257:E262 C263:F265 C266:E273 C274:F274 C276:F277 C278:E280 C281:F281 C282:E287 C288:F288 C289:E294 C295:F298 C299:E306 C307:F307 H307:I307 C309:F315">
    <cfRule type="cellIs" dxfId="4" priority="2" stopIfTrue="1" operator="lessThan">
      <formula>0</formula>
    </cfRule>
  </conditionalFormatting>
  <conditionalFormatting sqref="E317:F317">
    <cfRule type="cellIs" dxfId="3" priority="1" stopIfTrue="1" operator="lessThan">
      <formula>0</formula>
    </cfRule>
  </conditionalFormatting>
  <pageMargins left="0.25" right="0.25" top="0.75" bottom="0.75" header="0.3" footer="0.3"/>
  <pageSetup paperSize="9" scale="5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64B65-72B9-4747-AC28-DE7300B26AE7}">
  <dimension ref="A1:F313"/>
  <sheetViews>
    <sheetView zoomScale="90" zoomScaleNormal="90" workbookViewId="0">
      <selection activeCell="D337" sqref="D337"/>
    </sheetView>
  </sheetViews>
  <sheetFormatPr defaultRowHeight="15" x14ac:dyDescent="0.25"/>
  <cols>
    <col min="2" max="2" width="37.85546875" customWidth="1"/>
    <col min="3" max="3" width="10.28515625" customWidth="1"/>
    <col min="4" max="4" width="17.7109375" customWidth="1"/>
    <col min="5" max="5" width="19.42578125" customWidth="1"/>
    <col min="6" max="6" width="19.28515625" customWidth="1"/>
  </cols>
  <sheetData>
    <row r="1" spans="1:6" x14ac:dyDescent="0.25">
      <c r="A1" s="403" t="s">
        <v>292</v>
      </c>
      <c r="B1" s="403"/>
      <c r="C1" s="403"/>
      <c r="D1" s="403"/>
      <c r="E1" s="403"/>
      <c r="F1" s="403"/>
    </row>
    <row r="2" spans="1:6" x14ac:dyDescent="0.25">
      <c r="A2" s="48"/>
      <c r="B2" s="48"/>
      <c r="C2" s="48"/>
      <c r="D2" s="48"/>
      <c r="E2" s="48"/>
      <c r="F2" s="50"/>
    </row>
    <row r="3" spans="1:6" x14ac:dyDescent="0.25">
      <c r="A3" s="403" t="s">
        <v>277</v>
      </c>
      <c r="B3" s="430"/>
      <c r="C3" s="430"/>
      <c r="D3" s="430"/>
      <c r="E3" s="430"/>
      <c r="F3" s="430"/>
    </row>
    <row r="4" spans="1:6" ht="15.75" thickBot="1" x14ac:dyDescent="0.3">
      <c r="A4" s="48"/>
      <c r="B4" s="49"/>
      <c r="C4" s="50"/>
      <c r="D4" s="50"/>
      <c r="E4" s="50"/>
      <c r="F4" s="50"/>
    </row>
    <row r="5" spans="1:6" ht="26.25" thickBot="1" x14ac:dyDescent="0.3">
      <c r="A5" s="170" t="s">
        <v>125</v>
      </c>
      <c r="B5" s="170" t="s">
        <v>126</v>
      </c>
      <c r="C5" s="170" t="s">
        <v>127</v>
      </c>
      <c r="D5" s="170" t="s">
        <v>128</v>
      </c>
      <c r="E5" s="170" t="s">
        <v>129</v>
      </c>
      <c r="F5" s="170" t="s">
        <v>130</v>
      </c>
    </row>
    <row r="6" spans="1:6" ht="15.75" thickBot="1" x14ac:dyDescent="0.3">
      <c r="A6" s="51"/>
      <c r="B6" s="52"/>
      <c r="C6" s="53"/>
      <c r="D6" s="53"/>
      <c r="E6" s="54"/>
      <c r="F6" s="55"/>
    </row>
    <row r="7" spans="1:6" x14ac:dyDescent="0.25">
      <c r="A7" s="56">
        <v>801</v>
      </c>
      <c r="B7" s="57" t="s">
        <v>131</v>
      </c>
      <c r="C7" s="58"/>
      <c r="D7" s="59"/>
      <c r="E7" s="59">
        <f>SUM(E9+E211+E215+E276+E177+E309+E115+E243)</f>
        <v>3539562.83</v>
      </c>
      <c r="F7" s="60">
        <f>SUM(F9+F211+F215+F276+F177+F309+F115+F243)</f>
        <v>3539562.83</v>
      </c>
    </row>
    <row r="8" spans="1:6" x14ac:dyDescent="0.25">
      <c r="A8" s="61"/>
      <c r="B8" s="62"/>
      <c r="C8" s="63"/>
      <c r="D8" s="64"/>
      <c r="E8" s="64"/>
      <c r="F8" s="65"/>
    </row>
    <row r="9" spans="1:6" ht="15.75" thickBot="1" x14ac:dyDescent="0.3">
      <c r="A9" s="173">
        <v>801</v>
      </c>
      <c r="B9" s="174" t="s">
        <v>132</v>
      </c>
      <c r="C9" s="175"/>
      <c r="D9" s="176"/>
      <c r="E9" s="176">
        <f>E10+E17+E24+E25+E36+E46+E47+E66+E69+E70+E86+E87+E88+E89+E90+E91+E92+E101+E102+E111+E112+E113+E59+E62</f>
        <v>2248256.13</v>
      </c>
      <c r="F9" s="177">
        <f>SUM(F10:F113)</f>
        <v>2248256.13</v>
      </c>
    </row>
    <row r="10" spans="1:6" x14ac:dyDescent="0.25">
      <c r="A10" s="388">
        <v>3020</v>
      </c>
      <c r="B10" s="67" t="s">
        <v>133</v>
      </c>
      <c r="C10" s="68"/>
      <c r="D10" s="69"/>
      <c r="E10" s="59">
        <f>SUM(E11:E16)</f>
        <v>48736.800000000003</v>
      </c>
      <c r="F10" s="391">
        <f>E10</f>
        <v>48736.800000000003</v>
      </c>
    </row>
    <row r="11" spans="1:6" x14ac:dyDescent="0.25">
      <c r="A11" s="389"/>
      <c r="B11" s="72" t="s">
        <v>134</v>
      </c>
      <c r="C11" s="73">
        <v>12</v>
      </c>
      <c r="D11" s="74">
        <v>3561.4</v>
      </c>
      <c r="E11" s="74">
        <f t="shared" ref="E11:E16" si="0">C11*D11</f>
        <v>42736.800000000003</v>
      </c>
      <c r="F11" s="392"/>
    </row>
    <row r="12" spans="1:6" x14ac:dyDescent="0.25">
      <c r="A12" s="389"/>
      <c r="B12" s="72" t="s">
        <v>135</v>
      </c>
      <c r="C12" s="73">
        <v>1</v>
      </c>
      <c r="D12" s="76">
        <v>1000</v>
      </c>
      <c r="E12" s="74">
        <f t="shared" si="0"/>
        <v>1000</v>
      </c>
      <c r="F12" s="392"/>
    </row>
    <row r="13" spans="1:6" x14ac:dyDescent="0.25">
      <c r="A13" s="389"/>
      <c r="B13" s="72" t="s">
        <v>225</v>
      </c>
      <c r="C13" s="73">
        <v>1</v>
      </c>
      <c r="D13" s="74">
        <v>2000</v>
      </c>
      <c r="E13" s="74">
        <f t="shared" si="0"/>
        <v>2000</v>
      </c>
      <c r="F13" s="392"/>
    </row>
    <row r="14" spans="1:6" x14ac:dyDescent="0.25">
      <c r="A14" s="389"/>
      <c r="B14" s="72" t="s">
        <v>136</v>
      </c>
      <c r="C14" s="73">
        <v>3</v>
      </c>
      <c r="D14" s="76">
        <v>1000</v>
      </c>
      <c r="E14" s="74">
        <f t="shared" si="0"/>
        <v>3000</v>
      </c>
      <c r="F14" s="392"/>
    </row>
    <row r="15" spans="1:6" x14ac:dyDescent="0.25">
      <c r="A15" s="389"/>
      <c r="B15" s="77"/>
      <c r="C15" s="73">
        <v>0</v>
      </c>
      <c r="D15" s="74">
        <v>0</v>
      </c>
      <c r="E15" s="74">
        <f>ROUND(C15*D15,0)</f>
        <v>0</v>
      </c>
      <c r="F15" s="392"/>
    </row>
    <row r="16" spans="1:6" ht="15.75" thickBot="1" x14ac:dyDescent="0.3">
      <c r="A16" s="390"/>
      <c r="B16" s="79"/>
      <c r="C16" s="80">
        <v>0</v>
      </c>
      <c r="D16" s="81">
        <v>0</v>
      </c>
      <c r="E16" s="82">
        <f t="shared" si="0"/>
        <v>0</v>
      </c>
      <c r="F16" s="393"/>
    </row>
    <row r="17" spans="1:6" ht="25.5" x14ac:dyDescent="0.25">
      <c r="A17" s="388">
        <v>4010</v>
      </c>
      <c r="B17" s="84" t="s">
        <v>137</v>
      </c>
      <c r="C17" s="85"/>
      <c r="D17" s="86"/>
      <c r="E17" s="87">
        <f>SUM(E18:E23)</f>
        <v>388440</v>
      </c>
      <c r="F17" s="392">
        <f>E17</f>
        <v>388440</v>
      </c>
    </row>
    <row r="18" spans="1:6" x14ac:dyDescent="0.25">
      <c r="A18" s="389"/>
      <c r="B18" s="72" t="s">
        <v>138</v>
      </c>
      <c r="C18" s="73">
        <v>12</v>
      </c>
      <c r="D18" s="74">
        <v>32370</v>
      </c>
      <c r="E18" s="86">
        <f t="shared" ref="E18:E23" si="1">C18*D18</f>
        <v>388440</v>
      </c>
      <c r="F18" s="392"/>
    </row>
    <row r="19" spans="1:6" ht="24" x14ac:dyDescent="0.25">
      <c r="A19" s="389"/>
      <c r="B19" s="72" t="s">
        <v>139</v>
      </c>
      <c r="C19" s="88">
        <v>0</v>
      </c>
      <c r="D19" s="76"/>
      <c r="E19" s="86">
        <f>ROUND(C19*D19,0)</f>
        <v>0</v>
      </c>
      <c r="F19" s="392"/>
    </row>
    <row r="20" spans="1:6" x14ac:dyDescent="0.25">
      <c r="A20" s="389"/>
      <c r="B20" s="72"/>
      <c r="C20" s="89">
        <v>1</v>
      </c>
      <c r="D20" s="89">
        <v>0</v>
      </c>
      <c r="E20" s="86">
        <f>ROUND(C20*D20,0)</f>
        <v>0</v>
      </c>
      <c r="F20" s="392"/>
    </row>
    <row r="21" spans="1:6" x14ac:dyDescent="0.25">
      <c r="A21" s="389"/>
      <c r="B21" s="72"/>
      <c r="C21" s="73">
        <v>1</v>
      </c>
      <c r="D21" s="74">
        <v>0</v>
      </c>
      <c r="E21" s="86">
        <f>ROUND(C21*D21,0)</f>
        <v>0</v>
      </c>
      <c r="F21" s="392"/>
    </row>
    <row r="22" spans="1:6" x14ac:dyDescent="0.25">
      <c r="A22" s="389"/>
      <c r="B22" s="72" t="s">
        <v>142</v>
      </c>
      <c r="C22" s="73">
        <v>1</v>
      </c>
      <c r="D22" s="74">
        <v>0</v>
      </c>
      <c r="E22" s="74">
        <f t="shared" si="1"/>
        <v>0</v>
      </c>
      <c r="F22" s="392"/>
    </row>
    <row r="23" spans="1:6" ht="15.75" thickBot="1" x14ac:dyDescent="0.3">
      <c r="A23" s="390"/>
      <c r="B23" s="90" t="s">
        <v>143</v>
      </c>
      <c r="C23" s="91">
        <v>1</v>
      </c>
      <c r="D23" s="92">
        <v>0</v>
      </c>
      <c r="E23" s="92">
        <f t="shared" si="1"/>
        <v>0</v>
      </c>
      <c r="F23" s="393"/>
    </row>
    <row r="24" spans="1:6" ht="26.25" thickBot="1" x14ac:dyDescent="0.3">
      <c r="A24" s="66">
        <v>4040</v>
      </c>
      <c r="B24" s="93" t="s">
        <v>144</v>
      </c>
      <c r="C24" s="94">
        <v>1</v>
      </c>
      <c r="D24" s="95">
        <f>20000+35500</f>
        <v>55500</v>
      </c>
      <c r="E24" s="69">
        <f>C24*D24</f>
        <v>55500</v>
      </c>
      <c r="F24" s="70">
        <f>E24</f>
        <v>55500</v>
      </c>
    </row>
    <row r="25" spans="1:6" ht="36" customHeight="1" x14ac:dyDescent="0.25">
      <c r="A25" s="388">
        <v>4110</v>
      </c>
      <c r="B25" s="67" t="s">
        <v>124</v>
      </c>
      <c r="C25" s="96"/>
      <c r="D25" s="97"/>
      <c r="E25" s="59">
        <f>SUM(E26:E35)</f>
        <v>340020</v>
      </c>
      <c r="F25" s="391">
        <f>E25</f>
        <v>340020</v>
      </c>
    </row>
    <row r="26" spans="1:6" ht="27.75" customHeight="1" x14ac:dyDescent="0.25">
      <c r="A26" s="389"/>
      <c r="B26" s="72" t="s">
        <v>145</v>
      </c>
      <c r="C26" s="73">
        <v>12</v>
      </c>
      <c r="D26" s="76">
        <v>1426</v>
      </c>
      <c r="E26" s="74">
        <f t="shared" ref="E26:E35" si="2">ROUND(C26*D26,0)</f>
        <v>17112</v>
      </c>
      <c r="F26" s="392"/>
    </row>
    <row r="27" spans="1:6" ht="27.75" customHeight="1" x14ac:dyDescent="0.25">
      <c r="A27" s="389"/>
      <c r="B27" s="72" t="s">
        <v>146</v>
      </c>
      <c r="C27" s="73">
        <v>12</v>
      </c>
      <c r="D27" s="76">
        <v>4504</v>
      </c>
      <c r="E27" s="74">
        <f t="shared" si="2"/>
        <v>54048</v>
      </c>
      <c r="F27" s="392"/>
    </row>
    <row r="28" spans="1:6" ht="27.75" customHeight="1" x14ac:dyDescent="0.25">
      <c r="A28" s="389"/>
      <c r="B28" s="72" t="s">
        <v>147</v>
      </c>
      <c r="C28" s="73">
        <v>12</v>
      </c>
      <c r="D28" s="76">
        <v>17000</v>
      </c>
      <c r="E28" s="74">
        <f t="shared" si="2"/>
        <v>204000</v>
      </c>
      <c r="F28" s="392"/>
    </row>
    <row r="29" spans="1:6" ht="27.75" customHeight="1" x14ac:dyDescent="0.25">
      <c r="A29" s="389"/>
      <c r="B29" s="72" t="s">
        <v>148</v>
      </c>
      <c r="C29" s="73">
        <v>12</v>
      </c>
      <c r="D29" s="76">
        <v>2600</v>
      </c>
      <c r="E29" s="74">
        <f t="shared" si="2"/>
        <v>31200</v>
      </c>
      <c r="F29" s="392"/>
    </row>
    <row r="30" spans="1:6" ht="27.75" customHeight="1" x14ac:dyDescent="0.25">
      <c r="A30" s="389"/>
      <c r="B30" s="72" t="s">
        <v>226</v>
      </c>
      <c r="C30" s="73">
        <v>1</v>
      </c>
      <c r="D30" s="76">
        <v>2460</v>
      </c>
      <c r="E30" s="74">
        <f t="shared" si="2"/>
        <v>2460</v>
      </c>
      <c r="F30" s="392"/>
    </row>
    <row r="31" spans="1:6" ht="12.75" customHeight="1" x14ac:dyDescent="0.25">
      <c r="A31" s="389"/>
      <c r="B31" s="72"/>
      <c r="C31" s="73">
        <v>0</v>
      </c>
      <c r="D31" s="74">
        <v>0</v>
      </c>
      <c r="E31" s="74">
        <f t="shared" si="2"/>
        <v>0</v>
      </c>
      <c r="F31" s="392"/>
    </row>
    <row r="32" spans="1:6" ht="10.5" customHeight="1" x14ac:dyDescent="0.25">
      <c r="A32" s="389"/>
      <c r="B32" s="72"/>
      <c r="C32" s="73">
        <v>0</v>
      </c>
      <c r="D32" s="74">
        <v>0</v>
      </c>
      <c r="E32" s="74">
        <f t="shared" si="2"/>
        <v>0</v>
      </c>
      <c r="F32" s="392"/>
    </row>
    <row r="33" spans="1:6" ht="27.75" customHeight="1" x14ac:dyDescent="0.25">
      <c r="A33" s="389"/>
      <c r="B33" s="72" t="s">
        <v>227</v>
      </c>
      <c r="C33" s="73">
        <v>1</v>
      </c>
      <c r="D33" s="76">
        <v>7700</v>
      </c>
      <c r="E33" s="74">
        <f t="shared" si="2"/>
        <v>7700</v>
      </c>
      <c r="F33" s="392"/>
    </row>
    <row r="34" spans="1:6" ht="27.75" customHeight="1" x14ac:dyDescent="0.25">
      <c r="A34" s="389"/>
      <c r="B34" s="72" t="s">
        <v>150</v>
      </c>
      <c r="C34" s="73">
        <v>10</v>
      </c>
      <c r="D34" s="76">
        <f>D46*H1</f>
        <v>0</v>
      </c>
      <c r="E34" s="74">
        <f t="shared" si="2"/>
        <v>0</v>
      </c>
      <c r="F34" s="392"/>
    </row>
    <row r="35" spans="1:6" ht="27.75" customHeight="1" thickBot="1" x14ac:dyDescent="0.3">
      <c r="A35" s="390"/>
      <c r="B35" s="79" t="s">
        <v>151</v>
      </c>
      <c r="C35" s="98">
        <v>1</v>
      </c>
      <c r="D35" s="99">
        <v>23500</v>
      </c>
      <c r="E35" s="82">
        <f t="shared" si="2"/>
        <v>23500</v>
      </c>
      <c r="F35" s="393"/>
    </row>
    <row r="36" spans="1:6" ht="18.75" customHeight="1" x14ac:dyDescent="0.25">
      <c r="A36" s="388">
        <v>4120</v>
      </c>
      <c r="B36" s="67" t="s">
        <v>152</v>
      </c>
      <c r="C36" s="94"/>
      <c r="D36" s="95"/>
      <c r="E36" s="59">
        <f>SUM(E37:E45)</f>
        <v>48630</v>
      </c>
      <c r="F36" s="391">
        <f>E36</f>
        <v>48630</v>
      </c>
    </row>
    <row r="37" spans="1:6" ht="18.75" customHeight="1" x14ac:dyDescent="0.25">
      <c r="A37" s="389"/>
      <c r="B37" s="72" t="s">
        <v>153</v>
      </c>
      <c r="C37" s="73">
        <v>12</v>
      </c>
      <c r="D37" s="76">
        <v>198</v>
      </c>
      <c r="E37" s="74">
        <f t="shared" ref="E37:E45" si="3">ROUND(C37*D37,0)</f>
        <v>2376</v>
      </c>
      <c r="F37" s="392"/>
    </row>
    <row r="38" spans="1:6" ht="18.75" customHeight="1" x14ac:dyDescent="0.25">
      <c r="A38" s="389"/>
      <c r="B38" s="72" t="s">
        <v>154</v>
      </c>
      <c r="C38" s="73">
        <v>12</v>
      </c>
      <c r="D38" s="76">
        <v>628</v>
      </c>
      <c r="E38" s="74">
        <f t="shared" si="3"/>
        <v>7536</v>
      </c>
      <c r="F38" s="392"/>
    </row>
    <row r="39" spans="1:6" ht="18.75" customHeight="1" x14ac:dyDescent="0.25">
      <c r="A39" s="389"/>
      <c r="B39" s="72" t="s">
        <v>155</v>
      </c>
      <c r="C39" s="73">
        <v>12</v>
      </c>
      <c r="D39" s="76">
        <v>2540</v>
      </c>
      <c r="E39" s="74">
        <f t="shared" si="3"/>
        <v>30480</v>
      </c>
      <c r="F39" s="392"/>
    </row>
    <row r="40" spans="1:6" ht="18.75" customHeight="1" x14ac:dyDescent="0.25">
      <c r="A40" s="389"/>
      <c r="B40" s="72" t="s">
        <v>156</v>
      </c>
      <c r="C40" s="73">
        <v>12</v>
      </c>
      <c r="D40" s="76">
        <v>350</v>
      </c>
      <c r="E40" s="74">
        <f t="shared" si="3"/>
        <v>4200</v>
      </c>
      <c r="F40" s="392"/>
    </row>
    <row r="41" spans="1:6" ht="18.75" customHeight="1" x14ac:dyDescent="0.25">
      <c r="A41" s="389"/>
      <c r="B41" s="72" t="s">
        <v>226</v>
      </c>
      <c r="C41" s="73">
        <v>1</v>
      </c>
      <c r="D41" s="76">
        <v>413</v>
      </c>
      <c r="E41" s="74">
        <f t="shared" si="3"/>
        <v>413</v>
      </c>
      <c r="F41" s="392"/>
    </row>
    <row r="42" spans="1:6" ht="18.75" customHeight="1" x14ac:dyDescent="0.25">
      <c r="A42" s="389"/>
      <c r="B42" s="72"/>
      <c r="C42" s="73">
        <v>0</v>
      </c>
      <c r="D42" s="74">
        <v>0</v>
      </c>
      <c r="E42" s="74">
        <f t="shared" si="3"/>
        <v>0</v>
      </c>
      <c r="F42" s="392"/>
    </row>
    <row r="43" spans="1:6" ht="18.75" customHeight="1" x14ac:dyDescent="0.25">
      <c r="A43" s="389"/>
      <c r="B43" s="72" t="s">
        <v>228</v>
      </c>
      <c r="C43" s="73">
        <v>1</v>
      </c>
      <c r="D43" s="181">
        <v>1225</v>
      </c>
      <c r="E43" s="74">
        <f t="shared" si="3"/>
        <v>1225</v>
      </c>
      <c r="F43" s="392"/>
    </row>
    <row r="44" spans="1:6" ht="23.25" customHeight="1" x14ac:dyDescent="0.25">
      <c r="A44" s="389"/>
      <c r="B44" s="72" t="s">
        <v>157</v>
      </c>
      <c r="C44" s="73">
        <v>10</v>
      </c>
      <c r="D44" s="76">
        <f>D46*H3</f>
        <v>0</v>
      </c>
      <c r="E44" s="74">
        <f t="shared" si="3"/>
        <v>0</v>
      </c>
      <c r="F44" s="392"/>
    </row>
    <row r="45" spans="1:6" ht="32.25" customHeight="1" thickBot="1" x14ac:dyDescent="0.3">
      <c r="A45" s="390"/>
      <c r="B45" s="90" t="s">
        <v>158</v>
      </c>
      <c r="C45" s="80">
        <v>1</v>
      </c>
      <c r="D45" s="100">
        <v>2400</v>
      </c>
      <c r="E45" s="82">
        <f t="shared" si="3"/>
        <v>2400</v>
      </c>
      <c r="F45" s="393"/>
    </row>
    <row r="46" spans="1:6" ht="27.75" customHeight="1" thickBot="1" x14ac:dyDescent="0.3">
      <c r="A46" s="66">
        <v>4170</v>
      </c>
      <c r="B46" s="93" t="s">
        <v>159</v>
      </c>
      <c r="C46" s="68">
        <v>0</v>
      </c>
      <c r="D46" s="69">
        <v>0</v>
      </c>
      <c r="E46" s="69">
        <f>C46*D46</f>
        <v>0</v>
      </c>
      <c r="F46" s="70">
        <f>E46</f>
        <v>0</v>
      </c>
    </row>
    <row r="47" spans="1:6" ht="22.5" customHeight="1" x14ac:dyDescent="0.25">
      <c r="A47" s="388">
        <v>4210</v>
      </c>
      <c r="B47" s="67" t="s">
        <v>160</v>
      </c>
      <c r="C47" s="58"/>
      <c r="D47" s="59"/>
      <c r="E47" s="59">
        <f>SUM(E48:E58)</f>
        <v>97150</v>
      </c>
      <c r="F47" s="391">
        <f>E47</f>
        <v>97150</v>
      </c>
    </row>
    <row r="48" spans="1:6" ht="22.5" customHeight="1" x14ac:dyDescent="0.25">
      <c r="A48" s="389"/>
      <c r="B48" s="106" t="s">
        <v>229</v>
      </c>
      <c r="C48" s="73">
        <v>1</v>
      </c>
      <c r="D48" s="74">
        <v>42500</v>
      </c>
      <c r="E48" s="74">
        <f>C48*D48</f>
        <v>42500</v>
      </c>
      <c r="F48" s="392"/>
    </row>
    <row r="49" spans="1:6" ht="22.5" customHeight="1" x14ac:dyDescent="0.25">
      <c r="A49" s="389"/>
      <c r="B49" s="106" t="s">
        <v>279</v>
      </c>
      <c r="C49" s="73">
        <v>1</v>
      </c>
      <c r="D49" s="74">
        <v>2500</v>
      </c>
      <c r="E49" s="74">
        <f t="shared" ref="E49:E58" si="4">C49*D49</f>
        <v>2500</v>
      </c>
      <c r="F49" s="392"/>
    </row>
    <row r="50" spans="1:6" ht="22.5" customHeight="1" x14ac:dyDescent="0.25">
      <c r="A50" s="389"/>
      <c r="B50" s="106" t="s">
        <v>278</v>
      </c>
      <c r="C50" s="73">
        <v>1</v>
      </c>
      <c r="D50" s="74">
        <v>45000</v>
      </c>
      <c r="E50" s="74">
        <f t="shared" si="4"/>
        <v>45000</v>
      </c>
      <c r="F50" s="392"/>
    </row>
    <row r="51" spans="1:6" ht="22.5" customHeight="1" x14ac:dyDescent="0.25">
      <c r="A51" s="389"/>
      <c r="B51" s="106" t="s">
        <v>230</v>
      </c>
      <c r="C51" s="73">
        <v>1</v>
      </c>
      <c r="D51" s="74">
        <v>200</v>
      </c>
      <c r="E51" s="74">
        <f t="shared" si="4"/>
        <v>200</v>
      </c>
      <c r="F51" s="392"/>
    </row>
    <row r="52" spans="1:6" ht="22.5" customHeight="1" x14ac:dyDescent="0.25">
      <c r="A52" s="389"/>
      <c r="B52" s="106" t="s">
        <v>231</v>
      </c>
      <c r="C52" s="73">
        <v>1</v>
      </c>
      <c r="D52" s="74">
        <v>550</v>
      </c>
      <c r="E52" s="74">
        <f t="shared" si="4"/>
        <v>550</v>
      </c>
      <c r="F52" s="392"/>
    </row>
    <row r="53" spans="1:6" ht="22.5" customHeight="1" x14ac:dyDescent="0.25">
      <c r="A53" s="389"/>
      <c r="B53" s="106" t="s">
        <v>232</v>
      </c>
      <c r="C53" s="73">
        <v>1</v>
      </c>
      <c r="D53" s="74">
        <v>400</v>
      </c>
      <c r="E53" s="74">
        <f t="shared" si="4"/>
        <v>400</v>
      </c>
      <c r="F53" s="392"/>
    </row>
    <row r="54" spans="1:6" ht="22.5" customHeight="1" x14ac:dyDescent="0.25">
      <c r="A54" s="389"/>
      <c r="B54" s="106" t="s">
        <v>233</v>
      </c>
      <c r="C54" s="73">
        <v>1</v>
      </c>
      <c r="D54" s="74">
        <v>200</v>
      </c>
      <c r="E54" s="74">
        <f t="shared" si="4"/>
        <v>200</v>
      </c>
      <c r="F54" s="392"/>
    </row>
    <row r="55" spans="1:6" ht="22.5" customHeight="1" x14ac:dyDescent="0.25">
      <c r="A55" s="389"/>
      <c r="B55" s="106" t="s">
        <v>234</v>
      </c>
      <c r="C55" s="73">
        <v>1</v>
      </c>
      <c r="D55" s="74">
        <v>300</v>
      </c>
      <c r="E55" s="74">
        <f t="shared" si="4"/>
        <v>300</v>
      </c>
      <c r="F55" s="392"/>
    </row>
    <row r="56" spans="1:6" ht="22.5" customHeight="1" x14ac:dyDescent="0.25">
      <c r="A56" s="389"/>
      <c r="B56" s="106" t="s">
        <v>235</v>
      </c>
      <c r="C56" s="73">
        <v>1</v>
      </c>
      <c r="D56" s="74">
        <v>100</v>
      </c>
      <c r="E56" s="74">
        <f t="shared" si="4"/>
        <v>100</v>
      </c>
      <c r="F56" s="392"/>
    </row>
    <row r="57" spans="1:6" ht="22.5" customHeight="1" x14ac:dyDescent="0.25">
      <c r="A57" s="389"/>
      <c r="B57" s="106" t="s">
        <v>236</v>
      </c>
      <c r="C57" s="73">
        <v>1</v>
      </c>
      <c r="D57" s="74">
        <v>400</v>
      </c>
      <c r="E57" s="74">
        <f t="shared" si="4"/>
        <v>400</v>
      </c>
      <c r="F57" s="392"/>
    </row>
    <row r="58" spans="1:6" ht="22.5" customHeight="1" thickBot="1" x14ac:dyDescent="0.3">
      <c r="A58" s="390"/>
      <c r="B58" s="79" t="s">
        <v>237</v>
      </c>
      <c r="C58" s="98">
        <v>1</v>
      </c>
      <c r="D58" s="82">
        <v>5000</v>
      </c>
      <c r="E58" s="82">
        <f t="shared" si="4"/>
        <v>5000</v>
      </c>
      <c r="F58" s="393"/>
    </row>
    <row r="59" spans="1:6" ht="22.5" customHeight="1" x14ac:dyDescent="0.25">
      <c r="A59" s="421">
        <v>4240</v>
      </c>
      <c r="B59" s="67" t="s">
        <v>161</v>
      </c>
      <c r="C59" s="58"/>
      <c r="D59" s="59"/>
      <c r="E59" s="59">
        <f>SUM(E60:E61)</f>
        <v>3500</v>
      </c>
      <c r="F59" s="424">
        <f>E59</f>
        <v>3500</v>
      </c>
    </row>
    <row r="60" spans="1:6" ht="22.5" customHeight="1" x14ac:dyDescent="0.25">
      <c r="A60" s="422"/>
      <c r="B60" s="183" t="s">
        <v>293</v>
      </c>
      <c r="C60" s="184">
        <v>1</v>
      </c>
      <c r="D60" s="185">
        <v>1000</v>
      </c>
      <c r="E60" s="74">
        <f>C60*D60</f>
        <v>1000</v>
      </c>
      <c r="F60" s="426"/>
    </row>
    <row r="61" spans="1:6" ht="22.5" customHeight="1" thickBot="1" x14ac:dyDescent="0.3">
      <c r="A61" s="423"/>
      <c r="B61" s="79" t="s">
        <v>281</v>
      </c>
      <c r="C61" s="98">
        <v>1</v>
      </c>
      <c r="D61" s="82">
        <v>2500</v>
      </c>
      <c r="E61" s="82">
        <f>C61*D61</f>
        <v>2500</v>
      </c>
      <c r="F61" s="427"/>
    </row>
    <row r="62" spans="1:6" ht="33.75" customHeight="1" x14ac:dyDescent="0.25">
      <c r="A62" s="389">
        <v>4260</v>
      </c>
      <c r="B62" s="84" t="s">
        <v>162</v>
      </c>
      <c r="C62" s="116"/>
      <c r="D62" s="87"/>
      <c r="E62" s="186">
        <f>SUM(E63:E65)</f>
        <v>92156</v>
      </c>
      <c r="F62" s="392">
        <f>E62</f>
        <v>92156</v>
      </c>
    </row>
    <row r="63" spans="1:6" ht="33.75" customHeight="1" x14ac:dyDescent="0.25">
      <c r="A63" s="389"/>
      <c r="B63" s="72" t="s">
        <v>163</v>
      </c>
      <c r="C63" s="73">
        <v>12</v>
      </c>
      <c r="D63" s="74">
        <v>1699</v>
      </c>
      <c r="E63" s="110">
        <f>ROUND(C63*D63,0)</f>
        <v>20388</v>
      </c>
      <c r="F63" s="392"/>
    </row>
    <row r="64" spans="1:6" ht="33.75" customHeight="1" x14ac:dyDescent="0.25">
      <c r="A64" s="389"/>
      <c r="B64" s="72" t="s">
        <v>164</v>
      </c>
      <c r="C64" s="73">
        <v>4</v>
      </c>
      <c r="D64" s="74">
        <v>542.03</v>
      </c>
      <c r="E64" s="110">
        <f>ROUND(C64*D64,0)</f>
        <v>2168</v>
      </c>
      <c r="F64" s="392"/>
    </row>
    <row r="65" spans="1:6" ht="33.75" customHeight="1" thickBot="1" x14ac:dyDescent="0.3">
      <c r="A65" s="389"/>
      <c r="B65" s="72" t="s">
        <v>238</v>
      </c>
      <c r="C65" s="73">
        <v>12</v>
      </c>
      <c r="D65" s="74">
        <v>5800</v>
      </c>
      <c r="E65" s="110">
        <f>ROUND(C65*D65,0)</f>
        <v>69600</v>
      </c>
      <c r="F65" s="392"/>
    </row>
    <row r="66" spans="1:6" ht="40.5" customHeight="1" thickBot="1" x14ac:dyDescent="0.3">
      <c r="A66" s="388">
        <v>4270</v>
      </c>
      <c r="B66" s="102" t="s">
        <v>239</v>
      </c>
      <c r="C66" s="103">
        <v>1</v>
      </c>
      <c r="D66" s="104"/>
      <c r="E66" s="104">
        <f>SUM(E67:E68)</f>
        <v>5000</v>
      </c>
      <c r="F66" s="391">
        <f>E66</f>
        <v>5000</v>
      </c>
    </row>
    <row r="67" spans="1:6" ht="15.75" thickBot="1" x14ac:dyDescent="0.3">
      <c r="A67" s="389"/>
      <c r="B67" s="187" t="s">
        <v>294</v>
      </c>
      <c r="C67" s="188"/>
      <c r="D67" s="189">
        <v>5000</v>
      </c>
      <c r="E67" s="189">
        <f>C67*D67</f>
        <v>0</v>
      </c>
      <c r="F67" s="392"/>
    </row>
    <row r="68" spans="1:6" ht="15.75" thickBot="1" x14ac:dyDescent="0.3">
      <c r="A68" s="390"/>
      <c r="B68" s="187" t="s">
        <v>240</v>
      </c>
      <c r="C68" s="188">
        <v>1</v>
      </c>
      <c r="D68" s="189">
        <v>5000</v>
      </c>
      <c r="E68" s="189">
        <f>C68*D68</f>
        <v>5000</v>
      </c>
      <c r="F68" s="393"/>
    </row>
    <row r="69" spans="1:6" ht="34.5" customHeight="1" thickBot="1" x14ac:dyDescent="0.3">
      <c r="A69" s="101">
        <v>4280</v>
      </c>
      <c r="B69" s="102" t="s">
        <v>36</v>
      </c>
      <c r="C69" s="103">
        <v>1</v>
      </c>
      <c r="D69" s="104">
        <v>1250</v>
      </c>
      <c r="E69" s="104">
        <f>C69*D69</f>
        <v>1250</v>
      </c>
      <c r="F69" s="105">
        <f>E69</f>
        <v>1250</v>
      </c>
    </row>
    <row r="70" spans="1:6" ht="30" customHeight="1" x14ac:dyDescent="0.25">
      <c r="A70" s="388">
        <v>4300</v>
      </c>
      <c r="B70" s="84" t="s">
        <v>37</v>
      </c>
      <c r="C70" s="85"/>
      <c r="D70" s="86"/>
      <c r="E70" s="87">
        <f>SUM(E71:E85)</f>
        <v>45953</v>
      </c>
      <c r="F70" s="391">
        <f>E70</f>
        <v>45953</v>
      </c>
    </row>
    <row r="71" spans="1:6" ht="24" customHeight="1" x14ac:dyDescent="0.25">
      <c r="A71" s="389"/>
      <c r="B71" s="72" t="s">
        <v>165</v>
      </c>
      <c r="C71" s="73">
        <v>12</v>
      </c>
      <c r="D71" s="74">
        <v>185</v>
      </c>
      <c r="E71" s="74">
        <f>ROUND((C71*D71),0)</f>
        <v>2220</v>
      </c>
      <c r="F71" s="392"/>
    </row>
    <row r="72" spans="1:6" ht="24" customHeight="1" x14ac:dyDescent="0.25">
      <c r="A72" s="389"/>
      <c r="B72" s="72" t="s">
        <v>166</v>
      </c>
      <c r="C72" s="73">
        <v>12</v>
      </c>
      <c r="D72" s="74">
        <v>233</v>
      </c>
      <c r="E72" s="74">
        <f t="shared" ref="E72:E85" si="5">ROUND((C72*D72),0)</f>
        <v>2796</v>
      </c>
      <c r="F72" s="392"/>
    </row>
    <row r="73" spans="1:6" ht="24" customHeight="1" x14ac:dyDescent="0.25">
      <c r="A73" s="389"/>
      <c r="B73" s="72" t="s">
        <v>167</v>
      </c>
      <c r="C73" s="73">
        <v>12</v>
      </c>
      <c r="D73" s="74">
        <v>254</v>
      </c>
      <c r="E73" s="74">
        <f t="shared" si="5"/>
        <v>3048</v>
      </c>
      <c r="F73" s="392"/>
    </row>
    <row r="74" spans="1:6" ht="24" customHeight="1" x14ac:dyDescent="0.25">
      <c r="A74" s="389"/>
      <c r="B74" s="72" t="s">
        <v>168</v>
      </c>
      <c r="C74" s="73">
        <v>12</v>
      </c>
      <c r="D74" s="74">
        <v>160</v>
      </c>
      <c r="E74" s="74">
        <f t="shared" si="5"/>
        <v>1920</v>
      </c>
      <c r="F74" s="392"/>
    </row>
    <row r="75" spans="1:6" ht="24" customHeight="1" x14ac:dyDescent="0.25">
      <c r="A75" s="389"/>
      <c r="B75" s="72" t="s">
        <v>241</v>
      </c>
      <c r="C75" s="73">
        <v>12</v>
      </c>
      <c r="D75" s="74">
        <v>272</v>
      </c>
      <c r="E75" s="74">
        <f t="shared" si="5"/>
        <v>3264</v>
      </c>
      <c r="F75" s="392"/>
    </row>
    <row r="76" spans="1:6" ht="24" customHeight="1" x14ac:dyDescent="0.25">
      <c r="A76" s="389"/>
      <c r="B76" s="72" t="s">
        <v>169</v>
      </c>
      <c r="C76" s="73">
        <v>4</v>
      </c>
      <c r="D76" s="74">
        <v>1300</v>
      </c>
      <c r="E76" s="74">
        <f t="shared" si="5"/>
        <v>5200</v>
      </c>
      <c r="F76" s="392"/>
    </row>
    <row r="77" spans="1:6" ht="24" customHeight="1" x14ac:dyDescent="0.25">
      <c r="A77" s="389"/>
      <c r="B77" s="72" t="s">
        <v>242</v>
      </c>
      <c r="C77" s="73">
        <v>12</v>
      </c>
      <c r="D77" s="74">
        <v>380.07</v>
      </c>
      <c r="E77" s="74">
        <f t="shared" si="5"/>
        <v>4561</v>
      </c>
      <c r="F77" s="392"/>
    </row>
    <row r="78" spans="1:6" ht="24" customHeight="1" x14ac:dyDescent="0.25">
      <c r="A78" s="389"/>
      <c r="B78" s="72" t="s">
        <v>243</v>
      </c>
      <c r="C78" s="73">
        <v>1</v>
      </c>
      <c r="D78" s="74">
        <v>3213.6</v>
      </c>
      <c r="E78" s="74">
        <f t="shared" si="5"/>
        <v>3214</v>
      </c>
      <c r="F78" s="392"/>
    </row>
    <row r="79" spans="1:6" ht="24" customHeight="1" x14ac:dyDescent="0.25">
      <c r="A79" s="389"/>
      <c r="B79" s="72" t="s">
        <v>282</v>
      </c>
      <c r="C79" s="73">
        <v>1</v>
      </c>
      <c r="D79" s="74">
        <v>180</v>
      </c>
      <c r="E79" s="74">
        <f t="shared" si="5"/>
        <v>180</v>
      </c>
      <c r="F79" s="392"/>
    </row>
    <row r="80" spans="1:6" ht="24" customHeight="1" x14ac:dyDescent="0.25">
      <c r="A80" s="389"/>
      <c r="B80" s="72" t="s">
        <v>244</v>
      </c>
      <c r="C80" s="73">
        <v>1</v>
      </c>
      <c r="D80" s="74">
        <v>450</v>
      </c>
      <c r="E80" s="74">
        <f t="shared" si="5"/>
        <v>450</v>
      </c>
      <c r="F80" s="392"/>
    </row>
    <row r="81" spans="1:6" ht="24" customHeight="1" x14ac:dyDescent="0.25">
      <c r="A81" s="389"/>
      <c r="B81" s="72" t="s">
        <v>283</v>
      </c>
      <c r="C81" s="73">
        <v>1</v>
      </c>
      <c r="D81" s="74">
        <v>1200</v>
      </c>
      <c r="E81" s="74">
        <f t="shared" si="5"/>
        <v>1200</v>
      </c>
      <c r="F81" s="392"/>
    </row>
    <row r="82" spans="1:6" ht="24" customHeight="1" x14ac:dyDescent="0.25">
      <c r="A82" s="389"/>
      <c r="B82" s="72" t="s">
        <v>245</v>
      </c>
      <c r="C82" s="73">
        <v>1</v>
      </c>
      <c r="D82" s="74">
        <v>400</v>
      </c>
      <c r="E82" s="74">
        <f t="shared" si="5"/>
        <v>400</v>
      </c>
      <c r="F82" s="392"/>
    </row>
    <row r="83" spans="1:6" ht="24" customHeight="1" x14ac:dyDescent="0.25">
      <c r="A83" s="389"/>
      <c r="B83" s="72" t="s">
        <v>246</v>
      </c>
      <c r="C83" s="73">
        <v>1</v>
      </c>
      <c r="D83" s="74">
        <v>6000</v>
      </c>
      <c r="E83" s="74">
        <f t="shared" si="5"/>
        <v>6000</v>
      </c>
      <c r="F83" s="392"/>
    </row>
    <row r="84" spans="1:6" ht="24" customHeight="1" x14ac:dyDescent="0.25">
      <c r="A84" s="389"/>
      <c r="B84" s="72" t="s">
        <v>295</v>
      </c>
      <c r="C84" s="73">
        <v>1</v>
      </c>
      <c r="D84" s="74">
        <v>9500</v>
      </c>
      <c r="E84" s="74">
        <f t="shared" si="5"/>
        <v>9500</v>
      </c>
      <c r="F84" s="392"/>
    </row>
    <row r="85" spans="1:6" ht="24" customHeight="1" thickBot="1" x14ac:dyDescent="0.3">
      <c r="A85" s="389"/>
      <c r="B85" s="72" t="s">
        <v>247</v>
      </c>
      <c r="C85" s="73">
        <v>1</v>
      </c>
      <c r="D85" s="74">
        <v>2000</v>
      </c>
      <c r="E85" s="74">
        <f t="shared" si="5"/>
        <v>2000</v>
      </c>
      <c r="F85" s="392"/>
    </row>
    <row r="86" spans="1:6" ht="50.25" customHeight="1" thickBot="1" x14ac:dyDescent="0.3">
      <c r="A86" s="101">
        <v>4350</v>
      </c>
      <c r="B86" s="102" t="s">
        <v>170</v>
      </c>
      <c r="C86" s="103">
        <v>0</v>
      </c>
      <c r="D86" s="104">
        <v>0</v>
      </c>
      <c r="E86" s="104">
        <f>C86*D86</f>
        <v>0</v>
      </c>
      <c r="F86" s="105">
        <f t="shared" ref="F86:F92" si="6">E86</f>
        <v>0</v>
      </c>
    </row>
    <row r="87" spans="1:6" ht="50.25" customHeight="1" thickBot="1" x14ac:dyDescent="0.3">
      <c r="A87" s="101">
        <v>4360</v>
      </c>
      <c r="B87" s="102" t="s">
        <v>171</v>
      </c>
      <c r="C87" s="103">
        <v>12</v>
      </c>
      <c r="D87" s="104">
        <f>121.84+75+170</f>
        <v>366.84000000000003</v>
      </c>
      <c r="E87" s="104">
        <f>ROUND(C87*D87,0)</f>
        <v>4402</v>
      </c>
      <c r="F87" s="105">
        <f t="shared" si="6"/>
        <v>4402</v>
      </c>
    </row>
    <row r="88" spans="1:6" ht="48.75" customHeight="1" thickBot="1" x14ac:dyDescent="0.3">
      <c r="A88" s="101">
        <v>4410</v>
      </c>
      <c r="B88" s="102" t="s">
        <v>172</v>
      </c>
      <c r="C88" s="103">
        <v>1</v>
      </c>
      <c r="D88" s="104">
        <v>3000</v>
      </c>
      <c r="E88" s="104">
        <f>C88*D88</f>
        <v>3000</v>
      </c>
      <c r="F88" s="105">
        <f t="shared" si="6"/>
        <v>3000</v>
      </c>
    </row>
    <row r="89" spans="1:6" ht="122.25" customHeight="1" thickBot="1" x14ac:dyDescent="0.3">
      <c r="A89" s="71">
        <v>4430</v>
      </c>
      <c r="B89" s="112" t="s">
        <v>275</v>
      </c>
      <c r="C89" s="113">
        <v>1</v>
      </c>
      <c r="D89" s="114">
        <f>5000+400+2706.33</f>
        <v>8106.33</v>
      </c>
      <c r="E89" s="114">
        <f>C89*D89</f>
        <v>8106.33</v>
      </c>
      <c r="F89" s="75">
        <f t="shared" si="6"/>
        <v>8106.33</v>
      </c>
    </row>
    <row r="90" spans="1:6" ht="15.75" thickBot="1" x14ac:dyDescent="0.3">
      <c r="A90" s="101">
        <v>4440</v>
      </c>
      <c r="B90" s="102" t="s">
        <v>173</v>
      </c>
      <c r="C90" s="103">
        <v>1</v>
      </c>
      <c r="D90" s="104">
        <v>110000</v>
      </c>
      <c r="E90" s="104">
        <f>C90*D90</f>
        <v>110000</v>
      </c>
      <c r="F90" s="105">
        <f t="shared" si="6"/>
        <v>110000</v>
      </c>
    </row>
    <row r="91" spans="1:6" ht="53.25" customHeight="1" thickBot="1" x14ac:dyDescent="0.3">
      <c r="A91" s="101">
        <v>4700</v>
      </c>
      <c r="B91" s="115" t="s">
        <v>248</v>
      </c>
      <c r="C91" s="103">
        <v>1</v>
      </c>
      <c r="D91" s="104">
        <v>2500</v>
      </c>
      <c r="E91" s="104">
        <f>C91*D91</f>
        <v>2500</v>
      </c>
      <c r="F91" s="105">
        <f t="shared" si="6"/>
        <v>2500</v>
      </c>
    </row>
    <row r="92" spans="1:6" ht="24.75" customHeight="1" x14ac:dyDescent="0.25">
      <c r="A92" s="389">
        <v>4710</v>
      </c>
      <c r="B92" s="84" t="s">
        <v>175</v>
      </c>
      <c r="C92" s="116"/>
      <c r="D92" s="87"/>
      <c r="E92" s="87">
        <f>SUM(E93:E100)</f>
        <v>5753</v>
      </c>
      <c r="F92" s="391">
        <f t="shared" si="6"/>
        <v>5753</v>
      </c>
    </row>
    <row r="93" spans="1:6" ht="24.75" customHeight="1" x14ac:dyDescent="0.25">
      <c r="A93" s="389"/>
      <c r="B93" s="72" t="s">
        <v>176</v>
      </c>
      <c r="C93" s="73">
        <v>12</v>
      </c>
      <c r="D93" s="74">
        <v>18.57</v>
      </c>
      <c r="E93" s="117">
        <f>ROUND((C93*D93),0)</f>
        <v>223</v>
      </c>
      <c r="F93" s="392"/>
    </row>
    <row r="94" spans="1:6" ht="24.75" customHeight="1" x14ac:dyDescent="0.25">
      <c r="A94" s="389"/>
      <c r="B94" s="72" t="s">
        <v>177</v>
      </c>
      <c r="C94" s="73">
        <v>12</v>
      </c>
      <c r="D94" s="74">
        <v>0</v>
      </c>
      <c r="E94" s="117">
        <f t="shared" ref="E94:E101" si="7">ROUND((C94*D94),0)</f>
        <v>0</v>
      </c>
      <c r="F94" s="392"/>
    </row>
    <row r="95" spans="1:6" ht="24.75" customHeight="1" x14ac:dyDescent="0.25">
      <c r="A95" s="389"/>
      <c r="B95" s="72" t="s">
        <v>249</v>
      </c>
      <c r="C95" s="73">
        <v>1</v>
      </c>
      <c r="D95" s="74">
        <v>90</v>
      </c>
      <c r="E95" s="117">
        <f t="shared" si="7"/>
        <v>90</v>
      </c>
      <c r="F95" s="392"/>
    </row>
    <row r="96" spans="1:6" ht="24.75" customHeight="1" x14ac:dyDescent="0.25">
      <c r="A96" s="389"/>
      <c r="B96" s="72" t="s">
        <v>178</v>
      </c>
      <c r="C96" s="73">
        <v>12</v>
      </c>
      <c r="D96" s="74">
        <v>280</v>
      </c>
      <c r="E96" s="117">
        <f t="shared" si="7"/>
        <v>3360</v>
      </c>
      <c r="F96" s="392"/>
    </row>
    <row r="97" spans="1:6" ht="24.75" customHeight="1" x14ac:dyDescent="0.25">
      <c r="A97" s="389"/>
      <c r="B97" s="72" t="s">
        <v>250</v>
      </c>
      <c r="C97" s="73">
        <v>12</v>
      </c>
      <c r="D97" s="74">
        <v>134</v>
      </c>
      <c r="E97" s="117">
        <f t="shared" si="7"/>
        <v>1608</v>
      </c>
      <c r="F97" s="392"/>
    </row>
    <row r="98" spans="1:6" ht="24.75" customHeight="1" x14ac:dyDescent="0.25">
      <c r="A98" s="389"/>
      <c r="B98" s="72" t="s">
        <v>179</v>
      </c>
      <c r="C98" s="73">
        <v>1</v>
      </c>
      <c r="D98" s="74">
        <v>120</v>
      </c>
      <c r="E98" s="117">
        <f t="shared" si="7"/>
        <v>120</v>
      </c>
      <c r="F98" s="392"/>
    </row>
    <row r="99" spans="1:6" ht="24.75" customHeight="1" x14ac:dyDescent="0.25">
      <c r="A99" s="389"/>
      <c r="B99" s="72" t="s">
        <v>251</v>
      </c>
      <c r="C99" s="73">
        <v>1</v>
      </c>
      <c r="D99" s="74">
        <v>281.97000000000003</v>
      </c>
      <c r="E99" s="117">
        <f t="shared" si="7"/>
        <v>282</v>
      </c>
      <c r="F99" s="392"/>
    </row>
    <row r="100" spans="1:6" ht="24.75" customHeight="1" thickBot="1" x14ac:dyDescent="0.3">
      <c r="A100" s="389"/>
      <c r="B100" s="72" t="s">
        <v>180</v>
      </c>
      <c r="C100" s="73">
        <v>1</v>
      </c>
      <c r="D100" s="74">
        <v>70</v>
      </c>
      <c r="E100" s="117">
        <f t="shared" si="7"/>
        <v>70</v>
      </c>
      <c r="F100" s="392"/>
    </row>
    <row r="101" spans="1:6" ht="42.75" customHeight="1" thickBot="1" x14ac:dyDescent="0.3">
      <c r="A101" s="101">
        <v>4750</v>
      </c>
      <c r="B101" s="102" t="s">
        <v>181</v>
      </c>
      <c r="C101" s="103">
        <v>0</v>
      </c>
      <c r="D101" s="104">
        <v>0</v>
      </c>
      <c r="E101" s="117">
        <f t="shared" si="7"/>
        <v>0</v>
      </c>
      <c r="F101" s="105">
        <f>E101</f>
        <v>0</v>
      </c>
    </row>
    <row r="102" spans="1:6" ht="23.25" customHeight="1" x14ac:dyDescent="0.25">
      <c r="A102" s="388">
        <v>4790</v>
      </c>
      <c r="B102" s="118" t="s">
        <v>39</v>
      </c>
      <c r="C102" s="58"/>
      <c r="D102" s="59"/>
      <c r="E102" s="59">
        <f>SUM(E103:E110)</f>
        <v>933059</v>
      </c>
      <c r="F102" s="391">
        <f>E102</f>
        <v>933059</v>
      </c>
    </row>
    <row r="103" spans="1:6" ht="23.25" customHeight="1" x14ac:dyDescent="0.25">
      <c r="A103" s="389"/>
      <c r="B103" s="119" t="s">
        <v>182</v>
      </c>
      <c r="C103" s="73">
        <v>12</v>
      </c>
      <c r="D103" s="74">
        <v>57003</v>
      </c>
      <c r="E103" s="74">
        <f>C103*D103</f>
        <v>684036</v>
      </c>
      <c r="F103" s="392"/>
    </row>
    <row r="104" spans="1:6" ht="23.25" customHeight="1" x14ac:dyDescent="0.25">
      <c r="A104" s="389"/>
      <c r="B104" s="119" t="s">
        <v>183</v>
      </c>
      <c r="C104" s="88">
        <v>0.01</v>
      </c>
      <c r="D104" s="76">
        <f>(E103+E105+E109+E110)</f>
        <v>896386</v>
      </c>
      <c r="E104" s="74">
        <f>ROUND(C104*D104,0)</f>
        <v>8964</v>
      </c>
      <c r="F104" s="392"/>
    </row>
    <row r="105" spans="1:6" ht="23.25" customHeight="1" x14ac:dyDescent="0.25">
      <c r="A105" s="389"/>
      <c r="B105" s="120" t="s">
        <v>184</v>
      </c>
      <c r="C105" s="73">
        <v>12</v>
      </c>
      <c r="D105" s="74">
        <v>5000</v>
      </c>
      <c r="E105" s="74">
        <f t="shared" ref="E105:E113" si="8">C105*D105</f>
        <v>60000</v>
      </c>
      <c r="F105" s="392"/>
    </row>
    <row r="106" spans="1:6" ht="23.25" customHeight="1" x14ac:dyDescent="0.25">
      <c r="A106" s="389"/>
      <c r="B106" s="108"/>
      <c r="C106" s="73"/>
      <c r="D106" s="74"/>
      <c r="E106" s="74">
        <f>ROUND(C106*D106,0)</f>
        <v>0</v>
      </c>
      <c r="F106" s="392"/>
    </row>
    <row r="107" spans="1:6" ht="23.25" customHeight="1" x14ac:dyDescent="0.25">
      <c r="A107" s="389"/>
      <c r="B107" s="72"/>
      <c r="C107" s="73"/>
      <c r="D107" s="74"/>
      <c r="E107" s="74">
        <f t="shared" si="8"/>
        <v>0</v>
      </c>
      <c r="F107" s="392"/>
    </row>
    <row r="108" spans="1:6" ht="23.25" customHeight="1" x14ac:dyDescent="0.25">
      <c r="A108" s="389"/>
      <c r="B108" s="72" t="s">
        <v>185</v>
      </c>
      <c r="C108" s="73">
        <v>1</v>
      </c>
      <c r="D108" s="74">
        <v>27709</v>
      </c>
      <c r="E108" s="74">
        <f t="shared" si="8"/>
        <v>27709</v>
      </c>
      <c r="F108" s="392"/>
    </row>
    <row r="109" spans="1:6" ht="23.25" customHeight="1" x14ac:dyDescent="0.25">
      <c r="A109" s="389"/>
      <c r="B109" s="121" t="s">
        <v>202</v>
      </c>
      <c r="C109" s="73">
        <v>1</v>
      </c>
      <c r="D109" s="74">
        <v>60000</v>
      </c>
      <c r="E109" s="74">
        <f>C109*D109</f>
        <v>60000</v>
      </c>
      <c r="F109" s="392"/>
    </row>
    <row r="110" spans="1:6" ht="23.25" customHeight="1" thickBot="1" x14ac:dyDescent="0.3">
      <c r="A110" s="389"/>
      <c r="B110" s="121" t="s">
        <v>143</v>
      </c>
      <c r="C110" s="73">
        <v>1</v>
      </c>
      <c r="D110" s="74">
        <v>92350</v>
      </c>
      <c r="E110" s="74">
        <f t="shared" si="8"/>
        <v>92350</v>
      </c>
      <c r="F110" s="392"/>
    </row>
    <row r="111" spans="1:6" ht="42.75" customHeight="1" thickBot="1" x14ac:dyDescent="0.3">
      <c r="A111" s="101">
        <v>4800</v>
      </c>
      <c r="B111" s="115" t="s">
        <v>101</v>
      </c>
      <c r="C111" s="103">
        <v>1</v>
      </c>
      <c r="D111" s="104">
        <v>55100</v>
      </c>
      <c r="E111" s="104">
        <f>C111*D111</f>
        <v>55100</v>
      </c>
      <c r="F111" s="105">
        <f>E111</f>
        <v>55100</v>
      </c>
    </row>
    <row r="112" spans="1:6" ht="72.75" customHeight="1" thickBot="1" x14ac:dyDescent="0.3">
      <c r="A112" s="101">
        <v>4850</v>
      </c>
      <c r="B112" s="115" t="s">
        <v>186</v>
      </c>
      <c r="C112" s="103">
        <v>0</v>
      </c>
      <c r="D112" s="104">
        <v>0</v>
      </c>
      <c r="E112" s="104">
        <f t="shared" si="8"/>
        <v>0</v>
      </c>
      <c r="F112" s="105">
        <f>E112</f>
        <v>0</v>
      </c>
    </row>
    <row r="113" spans="1:6" ht="58.5" customHeight="1" thickBot="1" x14ac:dyDescent="0.3">
      <c r="A113" s="78">
        <v>4860</v>
      </c>
      <c r="B113" s="122" t="s">
        <v>187</v>
      </c>
      <c r="C113" s="123">
        <v>0</v>
      </c>
      <c r="D113" s="124">
        <v>0</v>
      </c>
      <c r="E113" s="124">
        <f t="shared" si="8"/>
        <v>0</v>
      </c>
      <c r="F113" s="83">
        <f>E113</f>
        <v>0</v>
      </c>
    </row>
    <row r="114" spans="1:6" x14ac:dyDescent="0.25">
      <c r="A114" s="125"/>
      <c r="B114" s="126"/>
      <c r="C114" s="127"/>
      <c r="D114" s="128"/>
      <c r="E114" s="129"/>
      <c r="F114" s="130"/>
    </row>
    <row r="115" spans="1:6" ht="15.75" thickBot="1" x14ac:dyDescent="0.3">
      <c r="A115" s="173">
        <v>801</v>
      </c>
      <c r="B115" s="174" t="s">
        <v>252</v>
      </c>
      <c r="C115" s="191"/>
      <c r="D115" s="192"/>
      <c r="E115" s="176">
        <f>E116+E120+E127+E138+E148+E149+E152+E154+E155+E158+E159+E166+E175+E128</f>
        <v>754350.2</v>
      </c>
      <c r="F115" s="177">
        <f>SUM(F116:F175)</f>
        <v>754350.2</v>
      </c>
    </row>
    <row r="116" spans="1:6" ht="33" customHeight="1" x14ac:dyDescent="0.25">
      <c r="A116" s="388">
        <v>3020</v>
      </c>
      <c r="B116" s="67" t="s">
        <v>253</v>
      </c>
      <c r="C116" s="194"/>
      <c r="D116" s="195"/>
      <c r="E116" s="59">
        <f>SUM(E117:E119)</f>
        <v>31255.199999999997</v>
      </c>
      <c r="F116" s="391">
        <f>E116</f>
        <v>31255.199999999997</v>
      </c>
    </row>
    <row r="117" spans="1:6" x14ac:dyDescent="0.25">
      <c r="A117" s="389"/>
      <c r="B117" s="72" t="s">
        <v>134</v>
      </c>
      <c r="C117" s="196">
        <v>12</v>
      </c>
      <c r="D117" s="197">
        <v>2604.6</v>
      </c>
      <c r="E117" s="74">
        <f>C117*D117</f>
        <v>31255.199999999997</v>
      </c>
      <c r="F117" s="392"/>
    </row>
    <row r="118" spans="1:6" x14ac:dyDescent="0.25">
      <c r="A118" s="389"/>
      <c r="B118" s="77"/>
      <c r="C118" s="196"/>
      <c r="D118" s="197"/>
      <c r="E118" s="74">
        <f>ROUND(C118*D118,0)</f>
        <v>0</v>
      </c>
      <c r="F118" s="392"/>
    </row>
    <row r="119" spans="1:6" ht="15.75" thickBot="1" x14ac:dyDescent="0.3">
      <c r="A119" s="390"/>
      <c r="B119" s="79"/>
      <c r="C119" s="201"/>
      <c r="D119" s="202"/>
      <c r="E119" s="82">
        <f>C119*D119</f>
        <v>0</v>
      </c>
      <c r="F119" s="393"/>
    </row>
    <row r="120" spans="1:6" ht="31.5" customHeight="1" x14ac:dyDescent="0.25">
      <c r="A120" s="388">
        <v>4010</v>
      </c>
      <c r="B120" s="67" t="s">
        <v>254</v>
      </c>
      <c r="C120" s="203"/>
      <c r="D120" s="204"/>
      <c r="E120" s="59">
        <f>SUM(E121:E126)</f>
        <v>101112</v>
      </c>
      <c r="F120" s="391">
        <f>E120</f>
        <v>101112</v>
      </c>
    </row>
    <row r="121" spans="1:6" ht="21" customHeight="1" x14ac:dyDescent="0.25">
      <c r="A121" s="389"/>
      <c r="B121" s="72" t="s">
        <v>138</v>
      </c>
      <c r="C121" s="196">
        <v>12</v>
      </c>
      <c r="D121" s="197">
        <v>6721</v>
      </c>
      <c r="E121" s="117">
        <f>ROUND((C121*D121),0)</f>
        <v>80652</v>
      </c>
      <c r="F121" s="392"/>
    </row>
    <row r="122" spans="1:6" ht="21" customHeight="1" x14ac:dyDescent="0.25">
      <c r="A122" s="389"/>
      <c r="B122" s="72" t="s">
        <v>139</v>
      </c>
      <c r="C122" s="208">
        <v>0</v>
      </c>
      <c r="D122" s="209">
        <f>E121+E125+E126</f>
        <v>101112</v>
      </c>
      <c r="E122" s="117">
        <f>ROUND(C122*D122,0)</f>
        <v>0</v>
      </c>
      <c r="F122" s="392"/>
    </row>
    <row r="123" spans="1:6" ht="21" customHeight="1" x14ac:dyDescent="0.25">
      <c r="A123" s="389"/>
      <c r="B123" s="72"/>
      <c r="C123" s="196"/>
      <c r="D123" s="197"/>
      <c r="E123" s="117">
        <f>ROUND((C123*D123),0)</f>
        <v>0</v>
      </c>
      <c r="F123" s="392"/>
    </row>
    <row r="124" spans="1:6" ht="21" customHeight="1" x14ac:dyDescent="0.25">
      <c r="A124" s="389"/>
      <c r="B124" s="72"/>
      <c r="C124" s="196"/>
      <c r="D124" s="197"/>
      <c r="E124" s="117">
        <f>ROUND((C124*D124),0)</f>
        <v>0</v>
      </c>
      <c r="F124" s="392"/>
    </row>
    <row r="125" spans="1:6" ht="21" customHeight="1" x14ac:dyDescent="0.25">
      <c r="A125" s="389"/>
      <c r="B125" s="72" t="s">
        <v>142</v>
      </c>
      <c r="C125" s="196">
        <v>1</v>
      </c>
      <c r="D125" s="197">
        <v>20460</v>
      </c>
      <c r="E125" s="117">
        <f>ROUND((C125*D125),0)</f>
        <v>20460</v>
      </c>
      <c r="F125" s="392"/>
    </row>
    <row r="126" spans="1:6" ht="21" customHeight="1" thickBot="1" x14ac:dyDescent="0.3">
      <c r="A126" s="390"/>
      <c r="B126" s="90" t="s">
        <v>143</v>
      </c>
      <c r="C126" s="201">
        <v>1</v>
      </c>
      <c r="D126" s="202">
        <v>0</v>
      </c>
      <c r="E126" s="210">
        <f>ROUND((C126*D126),)</f>
        <v>0</v>
      </c>
      <c r="F126" s="393"/>
    </row>
    <row r="127" spans="1:6" ht="27.75" customHeight="1" thickBot="1" x14ac:dyDescent="0.3">
      <c r="A127" s="71">
        <v>4040</v>
      </c>
      <c r="B127" s="112" t="s">
        <v>144</v>
      </c>
      <c r="C127" s="211">
        <v>1</v>
      </c>
      <c r="D127" s="212">
        <v>6700</v>
      </c>
      <c r="E127" s="114">
        <f>C127*D127</f>
        <v>6700</v>
      </c>
      <c r="F127" s="75">
        <f>E127</f>
        <v>6700</v>
      </c>
    </row>
    <row r="128" spans="1:6" ht="37.5" customHeight="1" x14ac:dyDescent="0.25">
      <c r="A128" s="388">
        <v>4110</v>
      </c>
      <c r="B128" s="67" t="s">
        <v>124</v>
      </c>
      <c r="C128" s="203"/>
      <c r="D128" s="204"/>
      <c r="E128" s="59">
        <f>SUM(E129:E137)</f>
        <v>64469</v>
      </c>
      <c r="F128" s="391">
        <f>E128</f>
        <v>64469</v>
      </c>
    </row>
    <row r="129" spans="1:6" ht="26.25" customHeight="1" x14ac:dyDescent="0.25">
      <c r="A129" s="389"/>
      <c r="B129" s="72" t="s">
        <v>145</v>
      </c>
      <c r="C129" s="196">
        <v>12</v>
      </c>
      <c r="D129" s="209">
        <v>240</v>
      </c>
      <c r="E129" s="74">
        <f t="shared" ref="E129:E137" si="9">ROUND(C129*D129,0)</f>
        <v>2880</v>
      </c>
      <c r="F129" s="392"/>
    </row>
    <row r="130" spans="1:6" ht="26.25" customHeight="1" x14ac:dyDescent="0.25">
      <c r="A130" s="389"/>
      <c r="B130" s="72" t="s">
        <v>146</v>
      </c>
      <c r="C130" s="196">
        <v>12</v>
      </c>
      <c r="D130" s="209">
        <v>980</v>
      </c>
      <c r="E130" s="74">
        <f t="shared" si="9"/>
        <v>11760</v>
      </c>
      <c r="F130" s="392"/>
    </row>
    <row r="131" spans="1:6" ht="26.25" customHeight="1" x14ac:dyDescent="0.25">
      <c r="A131" s="389"/>
      <c r="B131" s="72" t="s">
        <v>147</v>
      </c>
      <c r="C131" s="196">
        <v>12</v>
      </c>
      <c r="D131" s="209">
        <v>3073</v>
      </c>
      <c r="E131" s="74">
        <f t="shared" si="9"/>
        <v>36876</v>
      </c>
      <c r="F131" s="392"/>
    </row>
    <row r="132" spans="1:6" ht="26.25" customHeight="1" x14ac:dyDescent="0.25">
      <c r="A132" s="389"/>
      <c r="B132" s="72" t="s">
        <v>148</v>
      </c>
      <c r="C132" s="196">
        <v>12</v>
      </c>
      <c r="D132" s="209">
        <v>560.16</v>
      </c>
      <c r="E132" s="74">
        <f t="shared" si="9"/>
        <v>6722</v>
      </c>
      <c r="F132" s="392"/>
    </row>
    <row r="133" spans="1:6" ht="26.25" customHeight="1" x14ac:dyDescent="0.25">
      <c r="A133" s="389"/>
      <c r="B133" s="72" t="s">
        <v>255</v>
      </c>
      <c r="C133" s="196">
        <v>1</v>
      </c>
      <c r="D133" s="209">
        <v>436.01</v>
      </c>
      <c r="E133" s="74">
        <f t="shared" si="9"/>
        <v>436</v>
      </c>
      <c r="F133" s="392"/>
    </row>
    <row r="134" spans="1:6" ht="26.25" customHeight="1" x14ac:dyDescent="0.25">
      <c r="A134" s="389"/>
      <c r="B134" s="72"/>
      <c r="C134" s="196"/>
      <c r="D134" s="197"/>
      <c r="E134" s="74">
        <f t="shared" si="9"/>
        <v>0</v>
      </c>
      <c r="F134" s="392"/>
    </row>
    <row r="135" spans="1:6" ht="26.25" customHeight="1" x14ac:dyDescent="0.25">
      <c r="A135" s="389"/>
      <c r="B135" s="72" t="s">
        <v>150</v>
      </c>
      <c r="C135" s="196">
        <v>10</v>
      </c>
      <c r="D135" s="214">
        <f>D148*H3</f>
        <v>0</v>
      </c>
      <c r="E135" s="74">
        <f t="shared" si="9"/>
        <v>0</v>
      </c>
      <c r="F135" s="392"/>
    </row>
    <row r="136" spans="1:6" ht="26.25" customHeight="1" x14ac:dyDescent="0.25">
      <c r="A136" s="389"/>
      <c r="B136" s="72" t="s">
        <v>227</v>
      </c>
      <c r="C136" s="196">
        <v>1</v>
      </c>
      <c r="D136" s="214">
        <v>1756</v>
      </c>
      <c r="E136" s="109">
        <f t="shared" si="9"/>
        <v>1756</v>
      </c>
      <c r="F136" s="392"/>
    </row>
    <row r="137" spans="1:6" ht="26.25" customHeight="1" thickBot="1" x14ac:dyDescent="0.3">
      <c r="A137" s="390"/>
      <c r="B137" s="90" t="s">
        <v>151</v>
      </c>
      <c r="C137" s="201">
        <v>1</v>
      </c>
      <c r="D137" s="215">
        <v>4039</v>
      </c>
      <c r="E137" s="82">
        <f t="shared" si="9"/>
        <v>4039</v>
      </c>
      <c r="F137" s="393"/>
    </row>
    <row r="138" spans="1:6" ht="43.5" customHeight="1" x14ac:dyDescent="0.25">
      <c r="A138" s="388">
        <v>4120</v>
      </c>
      <c r="B138" s="67" t="s">
        <v>152</v>
      </c>
      <c r="C138" s="203"/>
      <c r="D138" s="204"/>
      <c r="E138" s="59">
        <f>SUM(E139:E147)</f>
        <v>9314</v>
      </c>
      <c r="F138" s="391">
        <f>E138</f>
        <v>9314</v>
      </c>
    </row>
    <row r="139" spans="1:6" ht="43.5" customHeight="1" x14ac:dyDescent="0.25">
      <c r="A139" s="389"/>
      <c r="B139" s="72" t="s">
        <v>153</v>
      </c>
      <c r="C139" s="196">
        <v>12</v>
      </c>
      <c r="D139" s="209">
        <v>33.57</v>
      </c>
      <c r="E139" s="74">
        <f t="shared" ref="E139:E147" si="10">ROUND(C139*D139,0)</f>
        <v>403</v>
      </c>
      <c r="F139" s="392"/>
    </row>
    <row r="140" spans="1:6" ht="29.25" customHeight="1" x14ac:dyDescent="0.25">
      <c r="A140" s="389"/>
      <c r="B140" s="72" t="s">
        <v>154</v>
      </c>
      <c r="C140" s="196">
        <v>12</v>
      </c>
      <c r="D140" s="209">
        <v>164</v>
      </c>
      <c r="E140" s="74">
        <f t="shared" si="10"/>
        <v>1968</v>
      </c>
      <c r="F140" s="392"/>
    </row>
    <row r="141" spans="1:6" ht="29.25" customHeight="1" x14ac:dyDescent="0.25">
      <c r="A141" s="389"/>
      <c r="B141" s="72" t="s">
        <v>155</v>
      </c>
      <c r="C141" s="196">
        <v>12</v>
      </c>
      <c r="D141" s="209">
        <v>428</v>
      </c>
      <c r="E141" s="74">
        <f t="shared" si="10"/>
        <v>5136</v>
      </c>
      <c r="F141" s="392"/>
    </row>
    <row r="142" spans="1:6" ht="29.25" customHeight="1" x14ac:dyDescent="0.25">
      <c r="A142" s="389"/>
      <c r="B142" s="72" t="s">
        <v>156</v>
      </c>
      <c r="C142" s="196">
        <v>12</v>
      </c>
      <c r="D142" s="209">
        <v>78.16</v>
      </c>
      <c r="E142" s="74">
        <f t="shared" si="10"/>
        <v>938</v>
      </c>
      <c r="F142" s="392"/>
    </row>
    <row r="143" spans="1:6" ht="29.25" customHeight="1" x14ac:dyDescent="0.25">
      <c r="A143" s="389"/>
      <c r="B143" s="72" t="s">
        <v>256</v>
      </c>
      <c r="C143" s="196">
        <v>1</v>
      </c>
      <c r="D143" s="209">
        <v>60.83</v>
      </c>
      <c r="E143" s="74">
        <f t="shared" si="10"/>
        <v>61</v>
      </c>
      <c r="F143" s="392"/>
    </row>
    <row r="144" spans="1:6" ht="29.25" customHeight="1" x14ac:dyDescent="0.25">
      <c r="A144" s="389"/>
      <c r="B144" s="72"/>
      <c r="C144" s="196"/>
      <c r="D144" s="197"/>
      <c r="E144" s="74">
        <f t="shared" si="10"/>
        <v>0</v>
      </c>
      <c r="F144" s="392"/>
    </row>
    <row r="145" spans="1:6" ht="29.25" customHeight="1" x14ac:dyDescent="0.25">
      <c r="A145" s="389"/>
      <c r="B145" s="108" t="s">
        <v>157</v>
      </c>
      <c r="C145" s="216">
        <v>10</v>
      </c>
      <c r="D145" s="217">
        <f>D148*H3</f>
        <v>0</v>
      </c>
      <c r="E145" s="109">
        <f>ROUND(C145*D145,0)</f>
        <v>0</v>
      </c>
      <c r="F145" s="392"/>
    </row>
    <row r="146" spans="1:6" ht="29.25" customHeight="1" x14ac:dyDescent="0.25">
      <c r="A146" s="428"/>
      <c r="B146" s="72" t="s">
        <v>228</v>
      </c>
      <c r="C146" s="196">
        <v>1</v>
      </c>
      <c r="D146" s="214">
        <v>245</v>
      </c>
      <c r="E146" s="74">
        <f>ROUND(C146*D146,0)</f>
        <v>245</v>
      </c>
      <c r="F146" s="429"/>
    </row>
    <row r="147" spans="1:6" ht="36.75" customHeight="1" thickBot="1" x14ac:dyDescent="0.3">
      <c r="A147" s="390"/>
      <c r="B147" s="90" t="s">
        <v>158</v>
      </c>
      <c r="C147" s="201">
        <v>1</v>
      </c>
      <c r="D147" s="219">
        <v>563</v>
      </c>
      <c r="E147" s="81">
        <f t="shared" si="10"/>
        <v>563</v>
      </c>
      <c r="F147" s="393"/>
    </row>
    <row r="148" spans="1:6" ht="27" customHeight="1" thickBot="1" x14ac:dyDescent="0.3">
      <c r="A148" s="101">
        <v>4170</v>
      </c>
      <c r="B148" s="102" t="s">
        <v>159</v>
      </c>
      <c r="C148" s="220">
        <v>0</v>
      </c>
      <c r="D148" s="221">
        <v>0</v>
      </c>
      <c r="E148" s="104">
        <f>C148*D148</f>
        <v>0</v>
      </c>
      <c r="F148" s="105">
        <f>E148</f>
        <v>0</v>
      </c>
    </row>
    <row r="149" spans="1:6" ht="33.75" customHeight="1" x14ac:dyDescent="0.25">
      <c r="A149" s="222">
        <v>4210</v>
      </c>
      <c r="B149" s="223" t="s">
        <v>160</v>
      </c>
      <c r="C149" s="224"/>
      <c r="D149" s="225"/>
      <c r="E149" s="226">
        <f>SUM(E150:E151)</f>
        <v>500</v>
      </c>
      <c r="F149" s="400">
        <f>E149</f>
        <v>500</v>
      </c>
    </row>
    <row r="150" spans="1:6" ht="44.25" customHeight="1" x14ac:dyDescent="0.25">
      <c r="A150" s="227"/>
      <c r="B150" s="106" t="s">
        <v>257</v>
      </c>
      <c r="C150" s="228">
        <v>1</v>
      </c>
      <c r="D150" s="229">
        <v>500</v>
      </c>
      <c r="E150" s="230">
        <f>C150*D150</f>
        <v>500</v>
      </c>
      <c r="F150" s="401"/>
    </row>
    <row r="151" spans="1:6" ht="15.75" thickBot="1" x14ac:dyDescent="0.3">
      <c r="A151" s="231"/>
      <c r="B151" s="232"/>
      <c r="C151" s="233"/>
      <c r="D151" s="234"/>
      <c r="E151" s="230">
        <f>C151*D151</f>
        <v>0</v>
      </c>
      <c r="F151" s="402"/>
    </row>
    <row r="152" spans="1:6" x14ac:dyDescent="0.25">
      <c r="A152" s="388">
        <v>4270</v>
      </c>
      <c r="B152" s="93" t="s">
        <v>258</v>
      </c>
      <c r="C152" s="194"/>
      <c r="D152" s="195"/>
      <c r="E152" s="69">
        <f>SUM(E153:E153)</f>
        <v>500</v>
      </c>
      <c r="F152" s="391">
        <f>E152</f>
        <v>500</v>
      </c>
    </row>
    <row r="153" spans="1:6" ht="22.5" customHeight="1" thickBot="1" x14ac:dyDescent="0.3">
      <c r="A153" s="390"/>
      <c r="B153" s="79" t="s">
        <v>259</v>
      </c>
      <c r="C153" s="235">
        <v>1</v>
      </c>
      <c r="D153" s="236">
        <v>500</v>
      </c>
      <c r="E153" s="82">
        <f>C153*D153</f>
        <v>500</v>
      </c>
      <c r="F153" s="393"/>
    </row>
    <row r="154" spans="1:6" ht="30" customHeight="1" thickBot="1" x14ac:dyDescent="0.3">
      <c r="A154" s="66">
        <v>4280</v>
      </c>
      <c r="B154" s="93" t="s">
        <v>36</v>
      </c>
      <c r="C154" s="194">
        <v>1</v>
      </c>
      <c r="D154" s="195">
        <v>300</v>
      </c>
      <c r="E154" s="69">
        <f>C154*D154</f>
        <v>300</v>
      </c>
      <c r="F154" s="70">
        <f>E154</f>
        <v>300</v>
      </c>
    </row>
    <row r="155" spans="1:6" ht="24" customHeight="1" x14ac:dyDescent="0.25">
      <c r="A155" s="388">
        <v>4300</v>
      </c>
      <c r="B155" s="93" t="s">
        <v>37</v>
      </c>
      <c r="C155" s="194"/>
      <c r="D155" s="195"/>
      <c r="E155" s="69">
        <f>SUM(E156:E157)</f>
        <v>10720</v>
      </c>
      <c r="F155" s="391">
        <f>E155</f>
        <v>10720</v>
      </c>
    </row>
    <row r="156" spans="1:6" x14ac:dyDescent="0.25">
      <c r="A156" s="389"/>
      <c r="B156" s="183" t="s">
        <v>296</v>
      </c>
      <c r="C156" s="237">
        <v>1</v>
      </c>
      <c r="D156" s="238">
        <v>10000</v>
      </c>
      <c r="E156" s="74">
        <f>C156*D156</f>
        <v>10000</v>
      </c>
      <c r="F156" s="392"/>
    </row>
    <row r="157" spans="1:6" ht="15.75" thickBot="1" x14ac:dyDescent="0.3">
      <c r="A157" s="390"/>
      <c r="B157" s="79" t="s">
        <v>260</v>
      </c>
      <c r="C157" s="235">
        <v>12</v>
      </c>
      <c r="D157" s="236">
        <v>60</v>
      </c>
      <c r="E157" s="81">
        <f>C157*D157</f>
        <v>720</v>
      </c>
      <c r="F157" s="393"/>
    </row>
    <row r="158" spans="1:6" ht="15.75" thickBot="1" x14ac:dyDescent="0.3">
      <c r="A158" s="218">
        <v>4440</v>
      </c>
      <c r="B158" s="239" t="s">
        <v>173</v>
      </c>
      <c r="C158" s="211">
        <v>1</v>
      </c>
      <c r="D158" s="240">
        <v>28187</v>
      </c>
      <c r="E158" s="114">
        <f>D158*C158</f>
        <v>28187</v>
      </c>
      <c r="F158" s="75">
        <f>E158</f>
        <v>28187</v>
      </c>
    </row>
    <row r="159" spans="1:6" ht="25.5" customHeight="1" x14ac:dyDescent="0.25">
      <c r="A159" s="388">
        <v>4710</v>
      </c>
      <c r="B159" s="223" t="s">
        <v>38</v>
      </c>
      <c r="C159" s="194"/>
      <c r="D159" s="195"/>
      <c r="E159" s="69">
        <f>SUM(E160:E165)</f>
        <v>2682</v>
      </c>
      <c r="F159" s="391">
        <f>E159</f>
        <v>2682</v>
      </c>
    </row>
    <row r="160" spans="1:6" ht="25.5" customHeight="1" x14ac:dyDescent="0.25">
      <c r="A160" s="389"/>
      <c r="B160" s="106" t="s">
        <v>261</v>
      </c>
      <c r="C160" s="196">
        <v>12</v>
      </c>
      <c r="D160" s="197">
        <v>11</v>
      </c>
      <c r="E160" s="185">
        <f t="shared" ref="E160:E165" si="11">C160*D160</f>
        <v>132</v>
      </c>
      <c r="F160" s="392"/>
    </row>
    <row r="161" spans="1:6" ht="25.5" customHeight="1" x14ac:dyDescent="0.25">
      <c r="A161" s="389"/>
      <c r="B161" s="106" t="s">
        <v>262</v>
      </c>
      <c r="C161" s="196">
        <v>12</v>
      </c>
      <c r="D161" s="197">
        <v>130</v>
      </c>
      <c r="E161" s="185">
        <f t="shared" si="11"/>
        <v>1560</v>
      </c>
      <c r="F161" s="392"/>
    </row>
    <row r="162" spans="1:6" ht="25.5" customHeight="1" x14ac:dyDescent="0.25">
      <c r="A162" s="389"/>
      <c r="B162" s="106" t="s">
        <v>263</v>
      </c>
      <c r="C162" s="196">
        <v>12</v>
      </c>
      <c r="D162" s="197">
        <v>55</v>
      </c>
      <c r="E162" s="185">
        <f t="shared" si="11"/>
        <v>660</v>
      </c>
      <c r="F162" s="392"/>
    </row>
    <row r="163" spans="1:6" ht="25.5" customHeight="1" x14ac:dyDescent="0.25">
      <c r="A163" s="389"/>
      <c r="B163" s="106" t="s">
        <v>264</v>
      </c>
      <c r="C163" s="196">
        <v>1</v>
      </c>
      <c r="D163" s="197">
        <v>30</v>
      </c>
      <c r="E163" s="185">
        <f t="shared" si="11"/>
        <v>30</v>
      </c>
      <c r="F163" s="392"/>
    </row>
    <row r="164" spans="1:6" ht="25.5" customHeight="1" x14ac:dyDescent="0.25">
      <c r="A164" s="389"/>
      <c r="B164" s="106" t="s">
        <v>265</v>
      </c>
      <c r="C164" s="196">
        <v>1</v>
      </c>
      <c r="D164" s="197">
        <v>100</v>
      </c>
      <c r="E164" s="185">
        <f t="shared" si="11"/>
        <v>100</v>
      </c>
      <c r="F164" s="392"/>
    </row>
    <row r="165" spans="1:6" ht="25.5" customHeight="1" thickBot="1" x14ac:dyDescent="0.3">
      <c r="A165" s="390"/>
      <c r="B165" s="241" t="s">
        <v>266</v>
      </c>
      <c r="C165" s="201">
        <v>1</v>
      </c>
      <c r="D165" s="202">
        <v>200</v>
      </c>
      <c r="E165" s="111">
        <f t="shared" si="11"/>
        <v>200</v>
      </c>
      <c r="F165" s="393"/>
    </row>
    <row r="166" spans="1:6" ht="29.25" customHeight="1" x14ac:dyDescent="0.25">
      <c r="A166" s="388">
        <v>4790</v>
      </c>
      <c r="B166" s="118" t="s">
        <v>39</v>
      </c>
      <c r="C166" s="203"/>
      <c r="D166" s="204"/>
      <c r="E166" s="59">
        <f>SUM(E167:E174)</f>
        <v>465476</v>
      </c>
      <c r="F166" s="424">
        <f>E166</f>
        <v>465476</v>
      </c>
    </row>
    <row r="167" spans="1:6" ht="15.75" customHeight="1" x14ac:dyDescent="0.25">
      <c r="A167" s="389"/>
      <c r="B167" s="119" t="s">
        <v>182</v>
      </c>
      <c r="C167" s="196">
        <v>12</v>
      </c>
      <c r="D167" s="197">
        <v>33135</v>
      </c>
      <c r="E167" s="117">
        <f>C167*D167</f>
        <v>397620</v>
      </c>
      <c r="F167" s="426"/>
    </row>
    <row r="168" spans="1:6" ht="15.75" customHeight="1" x14ac:dyDescent="0.25">
      <c r="A168" s="389"/>
      <c r="B168" s="119" t="s">
        <v>221</v>
      </c>
      <c r="C168" s="208">
        <v>0.01</v>
      </c>
      <c r="D168" s="209">
        <f>E167+E169+E173+E174</f>
        <v>445620</v>
      </c>
      <c r="E168" s="117">
        <f>ROUND(C168*D168,0)</f>
        <v>4456</v>
      </c>
      <c r="F168" s="426"/>
    </row>
    <row r="169" spans="1:6" ht="15.75" customHeight="1" x14ac:dyDescent="0.25">
      <c r="A169" s="389"/>
      <c r="B169" s="119" t="s">
        <v>184</v>
      </c>
      <c r="C169" s="196">
        <v>12</v>
      </c>
      <c r="D169" s="197">
        <v>4000</v>
      </c>
      <c r="E169" s="117">
        <f>C169*D169</f>
        <v>48000</v>
      </c>
      <c r="F169" s="426"/>
    </row>
    <row r="170" spans="1:6" ht="10.5" customHeight="1" x14ac:dyDescent="0.25">
      <c r="A170" s="389"/>
      <c r="B170" s="72"/>
      <c r="C170" s="196"/>
      <c r="D170" s="197"/>
      <c r="E170" s="117">
        <f>ROUND(C170*D170,0)</f>
        <v>0</v>
      </c>
      <c r="F170" s="426"/>
    </row>
    <row r="171" spans="1:6" ht="8.25" customHeight="1" x14ac:dyDescent="0.25">
      <c r="A171" s="389"/>
      <c r="B171" s="72"/>
      <c r="C171" s="196"/>
      <c r="D171" s="197"/>
      <c r="E171" s="117">
        <f>ROUND(C171*D171,0)</f>
        <v>0</v>
      </c>
      <c r="F171" s="426"/>
    </row>
    <row r="172" spans="1:6" ht="21" customHeight="1" x14ac:dyDescent="0.25">
      <c r="A172" s="389"/>
      <c r="B172" s="72" t="s">
        <v>267</v>
      </c>
      <c r="C172" s="196">
        <v>1</v>
      </c>
      <c r="D172" s="197">
        <v>15400</v>
      </c>
      <c r="E172" s="117">
        <f>ROUND(C172*D172,0)</f>
        <v>15400</v>
      </c>
      <c r="F172" s="426"/>
    </row>
    <row r="173" spans="1:6" ht="15.75" customHeight="1" x14ac:dyDescent="0.25">
      <c r="A173" s="389"/>
      <c r="B173" s="119" t="s">
        <v>202</v>
      </c>
      <c r="C173" s="196">
        <v>1</v>
      </c>
      <c r="D173" s="197">
        <v>0</v>
      </c>
      <c r="E173" s="117">
        <f>ROUND(C173*D173,0)</f>
        <v>0</v>
      </c>
      <c r="F173" s="426"/>
    </row>
    <row r="174" spans="1:6" ht="15.75" customHeight="1" thickBot="1" x14ac:dyDescent="0.3">
      <c r="A174" s="390"/>
      <c r="B174" s="242" t="s">
        <v>209</v>
      </c>
      <c r="C174" s="235">
        <v>1</v>
      </c>
      <c r="D174" s="236">
        <v>0</v>
      </c>
      <c r="E174" s="210">
        <f>C174*D174</f>
        <v>0</v>
      </c>
      <c r="F174" s="427"/>
    </row>
    <row r="175" spans="1:6" ht="50.25" customHeight="1" thickBot="1" x14ac:dyDescent="0.3">
      <c r="A175" s="101">
        <v>4800</v>
      </c>
      <c r="B175" s="115" t="s">
        <v>101</v>
      </c>
      <c r="C175" s="220">
        <v>1</v>
      </c>
      <c r="D175" s="221">
        <v>33135</v>
      </c>
      <c r="E175" s="104">
        <f>C175*D175</f>
        <v>33135</v>
      </c>
      <c r="F175" s="105">
        <f>E175</f>
        <v>33135</v>
      </c>
    </row>
    <row r="176" spans="1:6" x14ac:dyDescent="0.25">
      <c r="A176" s="404"/>
      <c r="B176" s="405"/>
      <c r="C176" s="405"/>
      <c r="D176" s="405"/>
      <c r="E176" s="405"/>
      <c r="F176" s="406"/>
    </row>
    <row r="177" spans="1:6" x14ac:dyDescent="0.25">
      <c r="A177" s="243">
        <v>801</v>
      </c>
      <c r="B177" s="244" t="s">
        <v>188</v>
      </c>
      <c r="C177" s="245"/>
      <c r="D177" s="246"/>
      <c r="E177" s="246">
        <f>SUM(E179+E183+E191+E199+E200+E209)</f>
        <v>0</v>
      </c>
      <c r="F177" s="247">
        <f>SUM(F179:F209)</f>
        <v>0</v>
      </c>
    </row>
    <row r="178" spans="1:6" ht="15.75" thickBot="1" x14ac:dyDescent="0.3">
      <c r="A178" s="407"/>
      <c r="B178" s="408"/>
      <c r="C178" s="408"/>
      <c r="D178" s="408"/>
      <c r="E178" s="408"/>
      <c r="F178" s="409"/>
    </row>
    <row r="179" spans="1:6" ht="39.75" customHeight="1" x14ac:dyDescent="0.25">
      <c r="A179" s="394">
        <v>3020</v>
      </c>
      <c r="B179" s="118" t="s">
        <v>189</v>
      </c>
      <c r="C179" s="131"/>
      <c r="D179" s="132"/>
      <c r="E179" s="132">
        <f>SUM(E180:E182)</f>
        <v>0</v>
      </c>
      <c r="F179" s="397">
        <f>E179</f>
        <v>0</v>
      </c>
    </row>
    <row r="180" spans="1:6" ht="24" customHeight="1" x14ac:dyDescent="0.25">
      <c r="A180" s="395"/>
      <c r="B180" s="72" t="s">
        <v>190</v>
      </c>
      <c r="C180" s="89">
        <v>12</v>
      </c>
      <c r="D180" s="134"/>
      <c r="E180" s="134">
        <f>ROUND(C180*D180,0)</f>
        <v>0</v>
      </c>
      <c r="F180" s="398"/>
    </row>
    <row r="181" spans="1:6" ht="18" customHeight="1" x14ac:dyDescent="0.25">
      <c r="A181" s="395"/>
      <c r="B181" s="72"/>
      <c r="C181" s="89"/>
      <c r="D181" s="134"/>
      <c r="E181" s="134">
        <f>ROUND(C181*D181,0)</f>
        <v>0</v>
      </c>
      <c r="F181" s="398"/>
    </row>
    <row r="182" spans="1:6" ht="19.5" customHeight="1" thickBot="1" x14ac:dyDescent="0.3">
      <c r="A182" s="396"/>
      <c r="B182" s="79"/>
      <c r="C182" s="135"/>
      <c r="D182" s="136"/>
      <c r="E182" s="134">
        <f>ROUND(C182*D182,0)</f>
        <v>0</v>
      </c>
      <c r="F182" s="399"/>
    </row>
    <row r="183" spans="1:6" ht="31.5" customHeight="1" x14ac:dyDescent="0.25">
      <c r="A183" s="394">
        <v>4110</v>
      </c>
      <c r="B183" s="118" t="s">
        <v>124</v>
      </c>
      <c r="C183" s="131"/>
      <c r="D183" s="132"/>
      <c r="E183" s="132">
        <f>SUM(E184:E190)</f>
        <v>0</v>
      </c>
      <c r="F183" s="397">
        <f>E183</f>
        <v>0</v>
      </c>
    </row>
    <row r="184" spans="1:6" ht="19.5" customHeight="1" x14ac:dyDescent="0.25">
      <c r="A184" s="395"/>
      <c r="B184" s="72" t="s">
        <v>191</v>
      </c>
      <c r="C184" s="89">
        <v>12</v>
      </c>
      <c r="D184" s="137">
        <f>D180*H1</f>
        <v>0</v>
      </c>
      <c r="E184" s="134">
        <f t="shared" ref="E184:E190" si="12">ROUND(C184*D184,0)</f>
        <v>0</v>
      </c>
      <c r="F184" s="398"/>
    </row>
    <row r="185" spans="1:6" ht="19.5" customHeight="1" x14ac:dyDescent="0.25">
      <c r="A185" s="395"/>
      <c r="B185" s="108" t="s">
        <v>147</v>
      </c>
      <c r="C185" s="89">
        <v>12</v>
      </c>
      <c r="D185" s="137"/>
      <c r="E185" s="134">
        <f t="shared" si="12"/>
        <v>0</v>
      </c>
      <c r="F185" s="398"/>
    </row>
    <row r="186" spans="1:6" ht="19.5" customHeight="1" x14ac:dyDescent="0.25">
      <c r="A186" s="395"/>
      <c r="B186" s="108" t="s">
        <v>192</v>
      </c>
      <c r="C186" s="89">
        <v>12</v>
      </c>
      <c r="D186" s="137"/>
      <c r="E186" s="134">
        <f t="shared" si="12"/>
        <v>0</v>
      </c>
      <c r="F186" s="398"/>
    </row>
    <row r="187" spans="1:6" ht="19.5" customHeight="1" x14ac:dyDescent="0.25">
      <c r="A187" s="395"/>
      <c r="B187" s="108" t="s">
        <v>193</v>
      </c>
      <c r="C187" s="89">
        <v>1</v>
      </c>
      <c r="D187" s="137"/>
      <c r="E187" s="134">
        <f t="shared" si="12"/>
        <v>0</v>
      </c>
      <c r="F187" s="398"/>
    </row>
    <row r="188" spans="1:6" ht="19.5" customHeight="1" x14ac:dyDescent="0.25">
      <c r="A188" s="395"/>
      <c r="B188" s="108" t="s">
        <v>227</v>
      </c>
      <c r="C188" s="248">
        <v>1</v>
      </c>
      <c r="D188" s="249"/>
      <c r="E188" s="250">
        <f t="shared" si="12"/>
        <v>0</v>
      </c>
      <c r="F188" s="398"/>
    </row>
    <row r="189" spans="1:6" ht="19.5" customHeight="1" x14ac:dyDescent="0.25">
      <c r="A189" s="395"/>
      <c r="B189" s="72"/>
      <c r="C189" s="89">
        <v>1</v>
      </c>
      <c r="D189" s="134"/>
      <c r="E189" s="134">
        <f t="shared" si="12"/>
        <v>0</v>
      </c>
      <c r="F189" s="398"/>
    </row>
    <row r="190" spans="1:6" ht="19.5" customHeight="1" thickBot="1" x14ac:dyDescent="0.3">
      <c r="A190" s="396"/>
      <c r="B190" s="90" t="s">
        <v>194</v>
      </c>
      <c r="C190" s="138">
        <v>1</v>
      </c>
      <c r="D190" s="139"/>
      <c r="E190" s="134">
        <f t="shared" si="12"/>
        <v>0</v>
      </c>
      <c r="F190" s="399"/>
    </row>
    <row r="191" spans="1:6" ht="33.75" customHeight="1" x14ac:dyDescent="0.25">
      <c r="A191" s="394">
        <v>4120</v>
      </c>
      <c r="B191" s="118" t="s">
        <v>152</v>
      </c>
      <c r="C191" s="131"/>
      <c r="D191" s="132"/>
      <c r="E191" s="132">
        <f>SUM(E192:E198)</f>
        <v>0</v>
      </c>
      <c r="F191" s="397">
        <f>E191</f>
        <v>0</v>
      </c>
    </row>
    <row r="192" spans="1:6" ht="27" customHeight="1" x14ac:dyDescent="0.25">
      <c r="A192" s="395"/>
      <c r="B192" s="72" t="s">
        <v>195</v>
      </c>
      <c r="C192" s="89">
        <v>12</v>
      </c>
      <c r="D192" s="137">
        <f>D180*H3</f>
        <v>0</v>
      </c>
      <c r="E192" s="134">
        <f>ROUND(C192*D192,0)</f>
        <v>0</v>
      </c>
      <c r="F192" s="398"/>
    </row>
    <row r="193" spans="1:6" ht="27" customHeight="1" x14ac:dyDescent="0.25">
      <c r="A193" s="395"/>
      <c r="B193" s="72" t="s">
        <v>196</v>
      </c>
      <c r="C193" s="89">
        <v>12</v>
      </c>
      <c r="D193" s="137"/>
      <c r="E193" s="134">
        <f>ROUND(116*D193,0)</f>
        <v>0</v>
      </c>
      <c r="F193" s="398"/>
    </row>
    <row r="194" spans="1:6" ht="27" customHeight="1" x14ac:dyDescent="0.25">
      <c r="A194" s="395"/>
      <c r="B194" s="72" t="s">
        <v>197</v>
      </c>
      <c r="C194" s="89">
        <v>12</v>
      </c>
      <c r="D194" s="137"/>
      <c r="E194" s="134">
        <f t="shared" ref="E194:E199" si="13">ROUND(C194*D194,0)</f>
        <v>0</v>
      </c>
      <c r="F194" s="398"/>
    </row>
    <row r="195" spans="1:6" ht="27" customHeight="1" x14ac:dyDescent="0.25">
      <c r="A195" s="395"/>
      <c r="B195" s="72" t="s">
        <v>199</v>
      </c>
      <c r="C195" s="89">
        <v>1</v>
      </c>
      <c r="D195" s="137"/>
      <c r="E195" s="134">
        <f t="shared" si="13"/>
        <v>0</v>
      </c>
      <c r="F195" s="398"/>
    </row>
    <row r="196" spans="1:6" ht="27" customHeight="1" x14ac:dyDescent="0.25">
      <c r="A196" s="395"/>
      <c r="B196" s="72" t="s">
        <v>228</v>
      </c>
      <c r="C196" s="89">
        <v>1</v>
      </c>
      <c r="D196" s="137"/>
      <c r="E196" s="134">
        <f t="shared" si="13"/>
        <v>0</v>
      </c>
      <c r="F196" s="398"/>
    </row>
    <row r="197" spans="1:6" ht="27" customHeight="1" x14ac:dyDescent="0.25">
      <c r="A197" s="395"/>
      <c r="B197" s="72"/>
      <c r="C197" s="89"/>
      <c r="D197" s="134"/>
      <c r="E197" s="134">
        <f t="shared" si="13"/>
        <v>0</v>
      </c>
      <c r="F197" s="398"/>
    </row>
    <row r="198" spans="1:6" ht="27" customHeight="1" thickBot="1" x14ac:dyDescent="0.3">
      <c r="A198" s="395"/>
      <c r="B198" s="148" t="s">
        <v>200</v>
      </c>
      <c r="C198" s="251">
        <v>1</v>
      </c>
      <c r="D198" s="252"/>
      <c r="E198" s="250">
        <f t="shared" si="13"/>
        <v>0</v>
      </c>
      <c r="F198" s="398"/>
    </row>
    <row r="199" spans="1:6" ht="15.75" thickBot="1" x14ac:dyDescent="0.3">
      <c r="A199" s="144">
        <v>4440</v>
      </c>
      <c r="B199" s="253" t="s">
        <v>173</v>
      </c>
      <c r="C199" s="145">
        <v>1</v>
      </c>
      <c r="D199" s="146"/>
      <c r="E199" s="146">
        <f t="shared" si="13"/>
        <v>0</v>
      </c>
      <c r="F199" s="147">
        <f>E199</f>
        <v>0</v>
      </c>
    </row>
    <row r="200" spans="1:6" ht="32.25" customHeight="1" x14ac:dyDescent="0.25">
      <c r="A200" s="394">
        <v>4790</v>
      </c>
      <c r="B200" s="140" t="s">
        <v>87</v>
      </c>
      <c r="C200" s="141"/>
      <c r="D200" s="142"/>
      <c r="E200" s="142">
        <f>SUM(E201:E208)</f>
        <v>0</v>
      </c>
      <c r="F200" s="397">
        <f>E200</f>
        <v>0</v>
      </c>
    </row>
    <row r="201" spans="1:6" ht="15.75" customHeight="1" x14ac:dyDescent="0.25">
      <c r="A201" s="395"/>
      <c r="B201" s="119" t="s">
        <v>201</v>
      </c>
      <c r="C201" s="89">
        <v>12</v>
      </c>
      <c r="D201" s="134"/>
      <c r="E201" s="134">
        <f>ROUND((C201*D201),0)</f>
        <v>0</v>
      </c>
      <c r="F201" s="398"/>
    </row>
    <row r="202" spans="1:6" ht="15.75" customHeight="1" x14ac:dyDescent="0.25">
      <c r="A202" s="395"/>
      <c r="B202" s="119" t="s">
        <v>183</v>
      </c>
      <c r="C202" s="143">
        <v>0.01</v>
      </c>
      <c r="D202" s="137"/>
      <c r="E202" s="134">
        <f>ROUND(C202*D202,0)</f>
        <v>0</v>
      </c>
      <c r="F202" s="398"/>
    </row>
    <row r="203" spans="1:6" ht="15.75" customHeight="1" x14ac:dyDescent="0.25">
      <c r="A203" s="395"/>
      <c r="B203" s="120" t="s">
        <v>184</v>
      </c>
      <c r="C203" s="89">
        <v>12</v>
      </c>
      <c r="D203" s="134"/>
      <c r="E203" s="134">
        <f t="shared" ref="E203:E208" si="14">ROUND((C203*D203),0)</f>
        <v>0</v>
      </c>
      <c r="F203" s="398"/>
    </row>
    <row r="204" spans="1:6" ht="15.75" customHeight="1" x14ac:dyDescent="0.25">
      <c r="A204" s="395"/>
      <c r="B204" s="72"/>
      <c r="C204" s="89"/>
      <c r="D204" s="134"/>
      <c r="E204" s="134">
        <f t="shared" si="14"/>
        <v>0</v>
      </c>
      <c r="F204" s="398"/>
    </row>
    <row r="205" spans="1:6" ht="15.75" customHeight="1" x14ac:dyDescent="0.25">
      <c r="A205" s="395"/>
      <c r="B205" s="72"/>
      <c r="C205" s="89"/>
      <c r="D205" s="134"/>
      <c r="E205" s="134">
        <f t="shared" si="14"/>
        <v>0</v>
      </c>
      <c r="F205" s="398"/>
    </row>
    <row r="206" spans="1:6" ht="26.25" customHeight="1" x14ac:dyDescent="0.25">
      <c r="A206" s="395"/>
      <c r="B206" s="120" t="s">
        <v>185</v>
      </c>
      <c r="C206" s="254">
        <v>1</v>
      </c>
      <c r="D206" s="255"/>
      <c r="E206" s="134">
        <f t="shared" si="14"/>
        <v>0</v>
      </c>
      <c r="F206" s="398"/>
    </row>
    <row r="207" spans="1:6" ht="15.75" customHeight="1" x14ac:dyDescent="0.25">
      <c r="A207" s="395"/>
      <c r="B207" s="121" t="s">
        <v>202</v>
      </c>
      <c r="C207" s="89">
        <v>1</v>
      </c>
      <c r="D207" s="134">
        <v>0</v>
      </c>
      <c r="E207" s="134">
        <f t="shared" si="14"/>
        <v>0</v>
      </c>
      <c r="F207" s="398"/>
    </row>
    <row r="208" spans="1:6" ht="15.75" customHeight="1" thickBot="1" x14ac:dyDescent="0.3">
      <c r="A208" s="396"/>
      <c r="B208" s="121" t="s">
        <v>203</v>
      </c>
      <c r="C208" s="89">
        <v>1</v>
      </c>
      <c r="D208" s="134">
        <v>0</v>
      </c>
      <c r="E208" s="134">
        <f t="shared" si="14"/>
        <v>0</v>
      </c>
      <c r="F208" s="399"/>
    </row>
    <row r="209" spans="1:6" ht="39.75" customHeight="1" thickBot="1" x14ac:dyDescent="0.3">
      <c r="A209" s="144">
        <v>4800</v>
      </c>
      <c r="B209" s="115" t="s">
        <v>101</v>
      </c>
      <c r="C209" s="145">
        <v>1</v>
      </c>
      <c r="D209" s="146">
        <v>0</v>
      </c>
      <c r="E209" s="146">
        <f>C209*D209</f>
        <v>0</v>
      </c>
      <c r="F209" s="147">
        <f>E209</f>
        <v>0</v>
      </c>
    </row>
    <row r="210" spans="1:6" x14ac:dyDescent="0.25">
      <c r="A210" s="410"/>
      <c r="B210" s="411"/>
      <c r="C210" s="411"/>
      <c r="D210" s="411"/>
      <c r="E210" s="411"/>
      <c r="F210" s="412"/>
    </row>
    <row r="211" spans="1:6" ht="50.25" customHeight="1" thickBot="1" x14ac:dyDescent="0.3">
      <c r="A211" s="173">
        <v>801</v>
      </c>
      <c r="B211" s="256" t="s">
        <v>204</v>
      </c>
      <c r="C211" s="175"/>
      <c r="D211" s="176"/>
      <c r="E211" s="176">
        <f>SUM(E212:E213)</f>
        <v>15000</v>
      </c>
      <c r="F211" s="177">
        <f>SUM(F212:F213)</f>
        <v>15000</v>
      </c>
    </row>
    <row r="212" spans="1:6" ht="15.75" thickBot="1" x14ac:dyDescent="0.3">
      <c r="A212" s="101">
        <v>4300</v>
      </c>
      <c r="B212" s="102" t="s">
        <v>37</v>
      </c>
      <c r="C212" s="103">
        <v>1</v>
      </c>
      <c r="D212" s="104">
        <v>2000</v>
      </c>
      <c r="E212" s="104">
        <f>C212*D212</f>
        <v>2000</v>
      </c>
      <c r="F212" s="105">
        <f>E212</f>
        <v>2000</v>
      </c>
    </row>
    <row r="213" spans="1:6" ht="50.25" customHeight="1" thickBot="1" x14ac:dyDescent="0.3">
      <c r="A213" s="101">
        <v>4700</v>
      </c>
      <c r="B213" s="102" t="s">
        <v>174</v>
      </c>
      <c r="C213" s="103">
        <v>1</v>
      </c>
      <c r="D213" s="104">
        <v>13000</v>
      </c>
      <c r="E213" s="104">
        <f>ROUND(C213*D213,0)</f>
        <v>13000</v>
      </c>
      <c r="F213" s="105">
        <f>E213</f>
        <v>13000</v>
      </c>
    </row>
    <row r="214" spans="1:6" x14ac:dyDescent="0.25">
      <c r="A214" s="410"/>
      <c r="B214" s="411"/>
      <c r="C214" s="411"/>
      <c r="D214" s="411"/>
      <c r="E214" s="411"/>
      <c r="F214" s="412"/>
    </row>
    <row r="215" spans="1:6" ht="44.25" customHeight="1" thickBot="1" x14ac:dyDescent="0.3">
      <c r="A215" s="173">
        <v>801</v>
      </c>
      <c r="B215" s="256" t="s">
        <v>205</v>
      </c>
      <c r="C215" s="175"/>
      <c r="D215" s="176"/>
      <c r="E215" s="176">
        <f>E217+E223+E224+E229+E234+E238+E240+E241+E239+E221</f>
        <v>421584</v>
      </c>
      <c r="F215" s="177">
        <f>SUM(F216:F241)</f>
        <v>421584</v>
      </c>
    </row>
    <row r="216" spans="1:6" ht="30.75" customHeight="1" x14ac:dyDescent="0.25">
      <c r="A216" s="388">
        <v>4010</v>
      </c>
      <c r="B216" s="93" t="s">
        <v>206</v>
      </c>
      <c r="C216" s="68"/>
      <c r="D216" s="69"/>
      <c r="E216" s="69">
        <f>SUM(E217+E218+E221+E222)</f>
        <v>234402</v>
      </c>
      <c r="F216" s="391">
        <f>E216</f>
        <v>234402</v>
      </c>
    </row>
    <row r="217" spans="1:6" ht="19.5" customHeight="1" x14ac:dyDescent="0.25">
      <c r="A217" s="389"/>
      <c r="B217" s="72" t="s">
        <v>138</v>
      </c>
      <c r="C217" s="73">
        <v>12</v>
      </c>
      <c r="D217" s="74">
        <v>18671</v>
      </c>
      <c r="E217" s="74">
        <f>C217*D217</f>
        <v>224052</v>
      </c>
      <c r="F217" s="392"/>
    </row>
    <row r="218" spans="1:6" ht="19.5" customHeight="1" x14ac:dyDescent="0.25">
      <c r="A218" s="389"/>
      <c r="B218" s="108" t="s">
        <v>207</v>
      </c>
      <c r="C218" s="88">
        <v>0</v>
      </c>
      <c r="D218" s="76"/>
      <c r="E218" s="74">
        <f>ROUND(C218*D218,0)</f>
        <v>0</v>
      </c>
      <c r="F218" s="392"/>
    </row>
    <row r="219" spans="1:6" ht="19.5" customHeight="1" x14ac:dyDescent="0.25">
      <c r="A219" s="389"/>
      <c r="B219" s="108"/>
      <c r="C219" s="73"/>
      <c r="D219" s="74"/>
      <c r="E219" s="74">
        <f>ROUND(C219*D219,0)</f>
        <v>0</v>
      </c>
      <c r="F219" s="392"/>
    </row>
    <row r="220" spans="1:6" ht="19.5" customHeight="1" x14ac:dyDescent="0.25">
      <c r="A220" s="389"/>
      <c r="B220" s="72"/>
      <c r="C220" s="73"/>
      <c r="D220" s="74"/>
      <c r="E220" s="74">
        <f>C220*D220</f>
        <v>0</v>
      </c>
      <c r="F220" s="392"/>
    </row>
    <row r="221" spans="1:6" ht="19.5" customHeight="1" x14ac:dyDescent="0.25">
      <c r="A221" s="389"/>
      <c r="B221" s="72" t="s">
        <v>208</v>
      </c>
      <c r="C221" s="73">
        <v>1</v>
      </c>
      <c r="D221" s="74">
        <v>10350</v>
      </c>
      <c r="E221" s="74">
        <f>ROUND(C221*D221,0)</f>
        <v>10350</v>
      </c>
      <c r="F221" s="392"/>
    </row>
    <row r="222" spans="1:6" ht="19.5" customHeight="1" thickBot="1" x14ac:dyDescent="0.3">
      <c r="A222" s="389"/>
      <c r="B222" s="148" t="s">
        <v>209</v>
      </c>
      <c r="C222" s="91">
        <v>1</v>
      </c>
      <c r="D222" s="92"/>
      <c r="E222" s="74">
        <f>ROUND(C222*D222,0)</f>
        <v>0</v>
      </c>
      <c r="F222" s="392"/>
    </row>
    <row r="223" spans="1:6" ht="38.25" customHeight="1" thickBot="1" x14ac:dyDescent="0.3">
      <c r="A223" s="101">
        <v>4040</v>
      </c>
      <c r="B223" s="102" t="s">
        <v>40</v>
      </c>
      <c r="C223" s="103">
        <v>1</v>
      </c>
      <c r="D223" s="104">
        <v>18500</v>
      </c>
      <c r="E223" s="104">
        <v>18500</v>
      </c>
      <c r="F223" s="105">
        <f>E223</f>
        <v>18500</v>
      </c>
    </row>
    <row r="224" spans="1:6" ht="36.75" customHeight="1" x14ac:dyDescent="0.25">
      <c r="A224" s="388">
        <v>4110</v>
      </c>
      <c r="B224" s="67" t="s">
        <v>124</v>
      </c>
      <c r="C224" s="58"/>
      <c r="D224" s="59"/>
      <c r="E224" s="59">
        <f>SUM(E225:E228)</f>
        <v>56889</v>
      </c>
      <c r="F224" s="391">
        <f>E224</f>
        <v>56889</v>
      </c>
    </row>
    <row r="225" spans="1:6" ht="36.75" customHeight="1" x14ac:dyDescent="0.25">
      <c r="A225" s="389"/>
      <c r="B225" s="72" t="s">
        <v>210</v>
      </c>
      <c r="C225" s="73">
        <v>12</v>
      </c>
      <c r="D225" s="76">
        <v>4470</v>
      </c>
      <c r="E225" s="74">
        <f>ROUND(C225*D225,0)</f>
        <v>53640</v>
      </c>
      <c r="F225" s="392"/>
    </row>
    <row r="226" spans="1:6" ht="36.75" customHeight="1" x14ac:dyDescent="0.25">
      <c r="A226" s="389"/>
      <c r="B226" s="72" t="s">
        <v>211</v>
      </c>
      <c r="C226" s="73">
        <v>1</v>
      </c>
      <c r="D226" s="74">
        <f>E218*H1</f>
        <v>0</v>
      </c>
      <c r="E226" s="74">
        <f>ROUND(C226*D226,0)</f>
        <v>0</v>
      </c>
      <c r="F226" s="392"/>
    </row>
    <row r="227" spans="1:6" ht="36.75" customHeight="1" x14ac:dyDescent="0.25">
      <c r="A227" s="389"/>
      <c r="B227" s="72"/>
      <c r="C227" s="73"/>
      <c r="D227" s="74"/>
      <c r="E227" s="74">
        <f>ROUND(C227*D227,0)</f>
        <v>0</v>
      </c>
      <c r="F227" s="392"/>
    </row>
    <row r="228" spans="1:6" ht="36.75" customHeight="1" thickBot="1" x14ac:dyDescent="0.3">
      <c r="A228" s="71"/>
      <c r="B228" s="148" t="s">
        <v>194</v>
      </c>
      <c r="C228" s="91">
        <v>1</v>
      </c>
      <c r="D228" s="149">
        <v>3249</v>
      </c>
      <c r="E228" s="74">
        <f>ROUND(C228*D228,0)</f>
        <v>3249</v>
      </c>
      <c r="F228" s="393"/>
    </row>
    <row r="229" spans="1:6" ht="28.5" customHeight="1" x14ac:dyDescent="0.25">
      <c r="A229" s="394">
        <v>4120</v>
      </c>
      <c r="B229" s="93" t="s">
        <v>152</v>
      </c>
      <c r="C229" s="68"/>
      <c r="D229" s="69"/>
      <c r="E229" s="69">
        <f>SUM(E230:E233)</f>
        <v>7892</v>
      </c>
      <c r="F229" s="391">
        <f>E229</f>
        <v>7892</v>
      </c>
    </row>
    <row r="230" spans="1:6" ht="28.5" customHeight="1" x14ac:dyDescent="0.25">
      <c r="A230" s="395"/>
      <c r="B230" s="72" t="s">
        <v>212</v>
      </c>
      <c r="C230" s="73">
        <v>12</v>
      </c>
      <c r="D230" s="76">
        <v>620</v>
      </c>
      <c r="E230" s="74">
        <f>ROUND(C230*D230,0)</f>
        <v>7440</v>
      </c>
      <c r="F230" s="392"/>
    </row>
    <row r="231" spans="1:6" ht="28.5" customHeight="1" x14ac:dyDescent="0.25">
      <c r="A231" s="395"/>
      <c r="B231" s="72" t="s">
        <v>213</v>
      </c>
      <c r="C231" s="73">
        <v>1</v>
      </c>
      <c r="D231" s="76">
        <f>E218*H3</f>
        <v>0</v>
      </c>
      <c r="E231" s="74">
        <f>ROUND(C231*D231,0)</f>
        <v>0</v>
      </c>
      <c r="F231" s="392"/>
    </row>
    <row r="232" spans="1:6" ht="28.5" customHeight="1" x14ac:dyDescent="0.25">
      <c r="A232" s="395"/>
      <c r="B232" s="72"/>
      <c r="C232" s="73"/>
      <c r="D232" s="74">
        <v>0</v>
      </c>
      <c r="E232" s="74">
        <f>ROUND(C232*D232,0)</f>
        <v>0</v>
      </c>
      <c r="F232" s="392"/>
    </row>
    <row r="233" spans="1:6" ht="28.5" customHeight="1" thickBot="1" x14ac:dyDescent="0.3">
      <c r="A233" s="133"/>
      <c r="B233" s="148" t="s">
        <v>200</v>
      </c>
      <c r="C233" s="85">
        <v>1</v>
      </c>
      <c r="D233" s="150">
        <v>452</v>
      </c>
      <c r="E233" s="74">
        <f>ROUND(C233*D233,0)</f>
        <v>452</v>
      </c>
      <c r="F233" s="393"/>
    </row>
    <row r="234" spans="1:6" ht="38.25" customHeight="1" x14ac:dyDescent="0.25">
      <c r="A234" s="421">
        <v>4210</v>
      </c>
      <c r="B234" s="67" t="s">
        <v>214</v>
      </c>
      <c r="C234" s="58"/>
      <c r="D234" s="59"/>
      <c r="E234" s="59">
        <f>SUM(E235:E237)</f>
        <v>1200</v>
      </c>
      <c r="F234" s="424">
        <f>E234</f>
        <v>1200</v>
      </c>
    </row>
    <row r="235" spans="1:6" ht="38.25" customHeight="1" x14ac:dyDescent="0.25">
      <c r="A235" s="413"/>
      <c r="B235" s="72" t="s">
        <v>268</v>
      </c>
      <c r="C235" s="85">
        <v>1</v>
      </c>
      <c r="D235" s="86">
        <v>500</v>
      </c>
      <c r="E235" s="74">
        <f t="shared" ref="E235:E241" si="15">C235*D235</f>
        <v>500</v>
      </c>
      <c r="F235" s="425"/>
    </row>
    <row r="236" spans="1:6" ht="38.25" customHeight="1" x14ac:dyDescent="0.25">
      <c r="A236" s="422"/>
      <c r="B236" s="72" t="s">
        <v>269</v>
      </c>
      <c r="C236" s="73">
        <v>1</v>
      </c>
      <c r="D236" s="74">
        <v>250</v>
      </c>
      <c r="E236" s="74">
        <f t="shared" si="15"/>
        <v>250</v>
      </c>
      <c r="F236" s="426"/>
    </row>
    <row r="237" spans="1:6" ht="38.25" customHeight="1" thickBot="1" x14ac:dyDescent="0.3">
      <c r="A237" s="423"/>
      <c r="B237" s="79" t="s">
        <v>270</v>
      </c>
      <c r="C237" s="98">
        <v>1</v>
      </c>
      <c r="D237" s="82">
        <v>450</v>
      </c>
      <c r="E237" s="82">
        <f t="shared" si="15"/>
        <v>450</v>
      </c>
      <c r="F237" s="427"/>
    </row>
    <row r="238" spans="1:6" ht="38.25" customHeight="1" thickBot="1" x14ac:dyDescent="0.3">
      <c r="A238" s="218">
        <v>4220</v>
      </c>
      <c r="B238" s="258" t="s">
        <v>41</v>
      </c>
      <c r="C238" s="103">
        <v>1</v>
      </c>
      <c r="D238" s="104">
        <v>95000</v>
      </c>
      <c r="E238" s="104">
        <f t="shared" si="15"/>
        <v>95000</v>
      </c>
      <c r="F238" s="105">
        <f>E238</f>
        <v>95000</v>
      </c>
    </row>
    <row r="239" spans="1:6" ht="38.25" customHeight="1" thickBot="1" x14ac:dyDescent="0.3">
      <c r="A239" s="66">
        <v>4280</v>
      </c>
      <c r="B239" s="112" t="s">
        <v>36</v>
      </c>
      <c r="C239" s="113">
        <v>1</v>
      </c>
      <c r="D239" s="114">
        <v>450</v>
      </c>
      <c r="E239" s="114">
        <f>C239*D239</f>
        <v>450</v>
      </c>
      <c r="F239" s="75">
        <f>E239</f>
        <v>450</v>
      </c>
    </row>
    <row r="240" spans="1:6" ht="38.25" customHeight="1" thickBot="1" x14ac:dyDescent="0.3">
      <c r="A240" s="101">
        <v>4440</v>
      </c>
      <c r="B240" s="102" t="s">
        <v>173</v>
      </c>
      <c r="C240" s="103">
        <v>1</v>
      </c>
      <c r="D240" s="104">
        <v>7251</v>
      </c>
      <c r="E240" s="104">
        <f t="shared" si="15"/>
        <v>7251</v>
      </c>
      <c r="F240" s="105">
        <f>E240</f>
        <v>7251</v>
      </c>
    </row>
    <row r="241" spans="1:6" ht="38.25" customHeight="1" thickBot="1" x14ac:dyDescent="0.3">
      <c r="A241" s="78">
        <v>4710</v>
      </c>
      <c r="B241" s="154" t="s">
        <v>38</v>
      </c>
      <c r="C241" s="123">
        <v>1</v>
      </c>
      <c r="D241" s="124">
        <v>0</v>
      </c>
      <c r="E241" s="124">
        <f t="shared" si="15"/>
        <v>0</v>
      </c>
      <c r="F241" s="83">
        <f>E241</f>
        <v>0</v>
      </c>
    </row>
    <row r="242" spans="1:6" x14ac:dyDescent="0.25">
      <c r="A242" s="410"/>
      <c r="B242" s="411"/>
      <c r="C242" s="411"/>
      <c r="D242" s="411"/>
      <c r="E242" s="411"/>
      <c r="F242" s="412"/>
    </row>
    <row r="243" spans="1:6" ht="120.75" customHeight="1" thickBot="1" x14ac:dyDescent="0.3">
      <c r="A243" s="173">
        <v>801</v>
      </c>
      <c r="B243" s="256" t="s">
        <v>271</v>
      </c>
      <c r="C243" s="175"/>
      <c r="D243" s="176"/>
      <c r="E243" s="176">
        <f>E244+E249+E256++E263+E274+E265+E264</f>
        <v>12211.5</v>
      </c>
      <c r="F243" s="177">
        <f>SUM(F244:F274)</f>
        <v>12211.5</v>
      </c>
    </row>
    <row r="244" spans="1:6" ht="33" customHeight="1" x14ac:dyDescent="0.25">
      <c r="A244" s="388">
        <v>4010</v>
      </c>
      <c r="B244" s="67" t="s">
        <v>285</v>
      </c>
      <c r="C244" s="58"/>
      <c r="D244" s="59"/>
      <c r="E244" s="59">
        <f>SUM(E245:E247)</f>
        <v>0</v>
      </c>
      <c r="F244" s="391">
        <f>E244</f>
        <v>0</v>
      </c>
    </row>
    <row r="245" spans="1:6" ht="33" customHeight="1" x14ac:dyDescent="0.25">
      <c r="A245" s="389"/>
      <c r="B245" s="72" t="s">
        <v>286</v>
      </c>
      <c r="C245" s="73">
        <v>12</v>
      </c>
      <c r="D245" s="74">
        <v>0</v>
      </c>
      <c r="E245" s="74">
        <f>C245*D245</f>
        <v>0</v>
      </c>
      <c r="F245" s="392"/>
    </row>
    <row r="246" spans="1:6" ht="33" customHeight="1" x14ac:dyDescent="0.25">
      <c r="A246" s="389"/>
      <c r="B246" s="72"/>
      <c r="C246" s="73">
        <v>12</v>
      </c>
      <c r="D246" s="74">
        <v>0</v>
      </c>
      <c r="E246" s="74">
        <f>ROUND(C246*D246,0)</f>
        <v>0</v>
      </c>
      <c r="F246" s="392"/>
    </row>
    <row r="247" spans="1:6" ht="33" customHeight="1" thickBot="1" x14ac:dyDescent="0.3">
      <c r="A247" s="413"/>
      <c r="B247" s="79"/>
      <c r="C247" s="73">
        <v>1</v>
      </c>
      <c r="D247" s="74">
        <v>0</v>
      </c>
      <c r="E247" s="74">
        <f>C247*D247</f>
        <v>0</v>
      </c>
      <c r="F247" s="393"/>
    </row>
    <row r="248" spans="1:6" ht="33" customHeight="1" thickBot="1" x14ac:dyDescent="0.3">
      <c r="A248" s="71">
        <v>4040</v>
      </c>
      <c r="B248" s="264" t="s">
        <v>287</v>
      </c>
      <c r="C248" s="85">
        <v>1</v>
      </c>
      <c r="D248" s="86">
        <v>0</v>
      </c>
      <c r="E248" s="265">
        <f>D248</f>
        <v>0</v>
      </c>
      <c r="F248" s="75"/>
    </row>
    <row r="249" spans="1:6" ht="37.5" customHeight="1" x14ac:dyDescent="0.25">
      <c r="A249" s="388">
        <v>4110</v>
      </c>
      <c r="B249" s="67" t="s">
        <v>124</v>
      </c>
      <c r="C249" s="58"/>
      <c r="D249" s="59"/>
      <c r="E249" s="59">
        <f>SUM(E250:E255)</f>
        <v>195</v>
      </c>
      <c r="F249" s="391">
        <f>E249</f>
        <v>195</v>
      </c>
    </row>
    <row r="250" spans="1:6" ht="18" customHeight="1" x14ac:dyDescent="0.25">
      <c r="A250" s="389"/>
      <c r="B250" s="72" t="s">
        <v>288</v>
      </c>
      <c r="C250" s="73">
        <v>12</v>
      </c>
      <c r="D250" s="76"/>
      <c r="E250" s="74">
        <f t="shared" ref="E250:E255" si="16">ROUND(C250*D250,0)</f>
        <v>0</v>
      </c>
      <c r="F250" s="392"/>
    </row>
    <row r="251" spans="1:6" ht="26.25" customHeight="1" x14ac:dyDescent="0.25">
      <c r="A251" s="389"/>
      <c r="B251" s="108" t="s">
        <v>147</v>
      </c>
      <c r="C251" s="73">
        <v>12</v>
      </c>
      <c r="D251" s="76">
        <f>D266*$H$1</f>
        <v>0</v>
      </c>
      <c r="E251" s="74">
        <f t="shared" si="16"/>
        <v>0</v>
      </c>
      <c r="F251" s="392"/>
    </row>
    <row r="252" spans="1:6" ht="18" customHeight="1" x14ac:dyDescent="0.25">
      <c r="A252" s="389"/>
      <c r="B252" s="108" t="s">
        <v>148</v>
      </c>
      <c r="C252" s="73">
        <v>12</v>
      </c>
      <c r="D252" s="76">
        <f>D267*$H$1</f>
        <v>0</v>
      </c>
      <c r="E252" s="74">
        <f t="shared" si="16"/>
        <v>0</v>
      </c>
      <c r="F252" s="392"/>
    </row>
    <row r="253" spans="1:6" ht="29.25" customHeight="1" x14ac:dyDescent="0.25">
      <c r="A253" s="389"/>
      <c r="B253" s="108" t="s">
        <v>149</v>
      </c>
      <c r="C253" s="73">
        <v>1</v>
      </c>
      <c r="D253" s="76">
        <v>193</v>
      </c>
      <c r="E253" s="74">
        <f t="shared" si="16"/>
        <v>193</v>
      </c>
      <c r="F253" s="392"/>
    </row>
    <row r="254" spans="1:6" ht="18" customHeight="1" x14ac:dyDescent="0.25">
      <c r="A254" s="389"/>
      <c r="B254" s="108" t="s">
        <v>217</v>
      </c>
      <c r="C254" s="73">
        <v>1</v>
      </c>
      <c r="D254" s="76">
        <v>1.58</v>
      </c>
      <c r="E254" s="74">
        <f t="shared" si="16"/>
        <v>2</v>
      </c>
      <c r="F254" s="392"/>
    </row>
    <row r="255" spans="1:6" ht="18" customHeight="1" thickBot="1" x14ac:dyDescent="0.3">
      <c r="A255" s="389"/>
      <c r="B255" s="72" t="s">
        <v>289</v>
      </c>
      <c r="C255" s="73">
        <v>1</v>
      </c>
      <c r="D255" s="74"/>
      <c r="E255" s="74">
        <f t="shared" si="16"/>
        <v>0</v>
      </c>
      <c r="F255" s="392"/>
    </row>
    <row r="256" spans="1:6" ht="30.75" customHeight="1" x14ac:dyDescent="0.25">
      <c r="A256" s="388">
        <v>4120</v>
      </c>
      <c r="B256" s="155" t="s">
        <v>152</v>
      </c>
      <c r="C256" s="58"/>
      <c r="D256" s="59"/>
      <c r="E256" s="59">
        <f>SUM(E257:E262)</f>
        <v>0</v>
      </c>
      <c r="F256" s="391">
        <f>E256</f>
        <v>0</v>
      </c>
    </row>
    <row r="257" spans="1:6" ht="30.75" customHeight="1" x14ac:dyDescent="0.25">
      <c r="A257" s="389"/>
      <c r="B257" s="72" t="s">
        <v>195</v>
      </c>
      <c r="C257" s="73">
        <v>12</v>
      </c>
      <c r="D257" s="76">
        <v>0</v>
      </c>
      <c r="E257" s="74">
        <f t="shared" ref="E257:E262" si="17">ROUND(C257*D257,0)</f>
        <v>0</v>
      </c>
      <c r="F257" s="392"/>
    </row>
    <row r="258" spans="1:6" ht="30.75" customHeight="1" x14ac:dyDescent="0.25">
      <c r="A258" s="389"/>
      <c r="B258" s="108" t="s">
        <v>196</v>
      </c>
      <c r="C258" s="73">
        <v>12</v>
      </c>
      <c r="D258" s="76">
        <f>D246*$H$3</f>
        <v>0</v>
      </c>
      <c r="E258" s="74">
        <f t="shared" si="17"/>
        <v>0</v>
      </c>
      <c r="F258" s="392"/>
    </row>
    <row r="259" spans="1:6" ht="30.75" customHeight="1" x14ac:dyDescent="0.25">
      <c r="A259" s="389"/>
      <c r="B259" s="108" t="s">
        <v>218</v>
      </c>
      <c r="C259" s="73">
        <v>12</v>
      </c>
      <c r="D259" s="76">
        <v>0</v>
      </c>
      <c r="E259" s="74">
        <f t="shared" si="17"/>
        <v>0</v>
      </c>
      <c r="F259" s="392"/>
    </row>
    <row r="260" spans="1:6" ht="30.75" customHeight="1" x14ac:dyDescent="0.25">
      <c r="A260" s="389"/>
      <c r="B260" s="108" t="s">
        <v>198</v>
      </c>
      <c r="C260" s="73">
        <v>1</v>
      </c>
      <c r="D260" s="76">
        <f>D249*$H$3</f>
        <v>0</v>
      </c>
      <c r="E260" s="74">
        <f t="shared" si="17"/>
        <v>0</v>
      </c>
      <c r="F260" s="392"/>
    </row>
    <row r="261" spans="1:6" ht="30.75" customHeight="1" x14ac:dyDescent="0.25">
      <c r="A261" s="389"/>
      <c r="B261" s="108" t="s">
        <v>290</v>
      </c>
      <c r="C261" s="73">
        <v>1</v>
      </c>
      <c r="D261" s="76">
        <v>0</v>
      </c>
      <c r="E261" s="74">
        <f t="shared" si="17"/>
        <v>0</v>
      </c>
      <c r="F261" s="392"/>
    </row>
    <row r="262" spans="1:6" ht="30.75" customHeight="1" thickBot="1" x14ac:dyDescent="0.3">
      <c r="A262" s="389"/>
      <c r="B262" s="108"/>
      <c r="C262" s="107"/>
      <c r="D262" s="109">
        <v>0</v>
      </c>
      <c r="E262" s="109">
        <f t="shared" si="17"/>
        <v>0</v>
      </c>
      <c r="F262" s="392"/>
    </row>
    <row r="263" spans="1:6" ht="15.75" thickBot="1" x14ac:dyDescent="0.3">
      <c r="A263" s="101">
        <v>4440</v>
      </c>
      <c r="B263" s="102" t="s">
        <v>173</v>
      </c>
      <c r="C263" s="103">
        <v>1</v>
      </c>
      <c r="D263" s="104">
        <v>0</v>
      </c>
      <c r="E263" s="104">
        <f>C263*D263</f>
        <v>0</v>
      </c>
      <c r="F263" s="105">
        <f>E263</f>
        <v>0</v>
      </c>
    </row>
    <row r="264" spans="1:6" ht="42.75" customHeight="1" thickBot="1" x14ac:dyDescent="0.3">
      <c r="A264" s="78">
        <v>4710</v>
      </c>
      <c r="B264" s="154" t="s">
        <v>38</v>
      </c>
      <c r="C264" s="123">
        <v>1</v>
      </c>
      <c r="D264" s="124">
        <v>16.5</v>
      </c>
      <c r="E264" s="124">
        <f>C264*D264</f>
        <v>16.5</v>
      </c>
      <c r="F264" s="83">
        <f>E264</f>
        <v>16.5</v>
      </c>
    </row>
    <row r="265" spans="1:6" ht="33.75" customHeight="1" x14ac:dyDescent="0.25">
      <c r="A265" s="388">
        <v>4790</v>
      </c>
      <c r="B265" s="67" t="s">
        <v>220</v>
      </c>
      <c r="C265" s="58"/>
      <c r="D265" s="59">
        <v>0</v>
      </c>
      <c r="E265" s="59">
        <f>SUM(E266:E273)</f>
        <v>12000</v>
      </c>
      <c r="F265" s="391">
        <f>E265</f>
        <v>12000</v>
      </c>
    </row>
    <row r="266" spans="1:6" ht="18.75" customHeight="1" x14ac:dyDescent="0.25">
      <c r="A266" s="389"/>
      <c r="B266" s="119" t="s">
        <v>273</v>
      </c>
      <c r="C266" s="73">
        <v>12</v>
      </c>
      <c r="D266" s="74"/>
      <c r="E266" s="74">
        <f>C266*D266</f>
        <v>0</v>
      </c>
      <c r="F266" s="392"/>
    </row>
    <row r="267" spans="1:6" ht="18.75" customHeight="1" x14ac:dyDescent="0.25">
      <c r="A267" s="389"/>
      <c r="B267" s="119" t="s">
        <v>274</v>
      </c>
      <c r="C267" s="88">
        <v>0.01</v>
      </c>
      <c r="D267" s="76">
        <v>0</v>
      </c>
      <c r="E267" s="74">
        <v>0</v>
      </c>
      <c r="F267" s="392"/>
    </row>
    <row r="268" spans="1:6" ht="18.75" customHeight="1" x14ac:dyDescent="0.25">
      <c r="A268" s="389"/>
      <c r="B268" s="120" t="s">
        <v>184</v>
      </c>
      <c r="C268" s="73">
        <v>12</v>
      </c>
      <c r="D268" s="74">
        <v>1000</v>
      </c>
      <c r="E268" s="74">
        <f>C268*D268</f>
        <v>12000</v>
      </c>
      <c r="F268" s="392"/>
    </row>
    <row r="269" spans="1:6" ht="18.75" customHeight="1" x14ac:dyDescent="0.25">
      <c r="A269" s="389"/>
      <c r="B269" s="108"/>
      <c r="C269" s="73"/>
      <c r="D269" s="74"/>
      <c r="E269" s="74">
        <f>ROUND(C269*D269,0)</f>
        <v>0</v>
      </c>
      <c r="F269" s="392"/>
    </row>
    <row r="270" spans="1:6" ht="18.75" customHeight="1" x14ac:dyDescent="0.25">
      <c r="A270" s="389"/>
      <c r="B270" s="72"/>
      <c r="C270" s="73"/>
      <c r="D270" s="74"/>
      <c r="E270" s="74">
        <f>C270*D270</f>
        <v>0</v>
      </c>
      <c r="F270" s="392"/>
    </row>
    <row r="271" spans="1:6" ht="18.75" customHeight="1" x14ac:dyDescent="0.25">
      <c r="A271" s="389"/>
      <c r="B271" s="72" t="s">
        <v>185</v>
      </c>
      <c r="C271" s="73">
        <v>1</v>
      </c>
      <c r="D271" s="74">
        <v>0</v>
      </c>
      <c r="E271" s="74">
        <f>C271*D271</f>
        <v>0</v>
      </c>
      <c r="F271" s="392"/>
    </row>
    <row r="272" spans="1:6" ht="18.75" customHeight="1" x14ac:dyDescent="0.25">
      <c r="A272" s="389"/>
      <c r="B272" s="121" t="s">
        <v>208</v>
      </c>
      <c r="C272" s="73">
        <v>1</v>
      </c>
      <c r="D272" s="74">
        <v>0</v>
      </c>
      <c r="E272" s="74">
        <f>C272*D272</f>
        <v>0</v>
      </c>
      <c r="F272" s="392"/>
    </row>
    <row r="273" spans="1:6" ht="18.75" customHeight="1" thickBot="1" x14ac:dyDescent="0.3">
      <c r="A273" s="389"/>
      <c r="B273" s="121" t="s">
        <v>203</v>
      </c>
      <c r="C273" s="73">
        <v>1</v>
      </c>
      <c r="D273" s="74">
        <v>0</v>
      </c>
      <c r="E273" s="74">
        <f>C273*D273</f>
        <v>0</v>
      </c>
      <c r="F273" s="392"/>
    </row>
    <row r="274" spans="1:6" ht="40.5" customHeight="1" thickBot="1" x14ac:dyDescent="0.3">
      <c r="A274" s="144">
        <v>4800</v>
      </c>
      <c r="B274" s="115" t="s">
        <v>101</v>
      </c>
      <c r="C274" s="103">
        <v>1</v>
      </c>
      <c r="D274" s="104">
        <v>0</v>
      </c>
      <c r="E274" s="104">
        <f>C274*D274</f>
        <v>0</v>
      </c>
      <c r="F274" s="105">
        <f>E274</f>
        <v>0</v>
      </c>
    </row>
    <row r="275" spans="1:6" x14ac:dyDescent="0.25">
      <c r="A275" s="410"/>
      <c r="B275" s="411"/>
      <c r="C275" s="411"/>
      <c r="D275" s="411"/>
      <c r="E275" s="411"/>
      <c r="F275" s="412"/>
    </row>
    <row r="276" spans="1:6" ht="85.5" customHeight="1" thickBot="1" x14ac:dyDescent="0.3">
      <c r="A276" s="173">
        <v>801</v>
      </c>
      <c r="B276" s="256" t="s">
        <v>215</v>
      </c>
      <c r="C276" s="175"/>
      <c r="D276" s="176"/>
      <c r="E276" s="176">
        <f>E277+E281+E288+E295+E296+E297+E307+E298</f>
        <v>88161</v>
      </c>
      <c r="F276" s="177">
        <f>SUM(F277:F307)</f>
        <v>88161</v>
      </c>
    </row>
    <row r="277" spans="1:6" ht="54" customHeight="1" x14ac:dyDescent="0.25">
      <c r="A277" s="388">
        <v>3020</v>
      </c>
      <c r="B277" s="67" t="s">
        <v>216</v>
      </c>
      <c r="C277" s="58"/>
      <c r="D277" s="59"/>
      <c r="E277" s="59">
        <f>SUM(E278:E280)</f>
        <v>0</v>
      </c>
      <c r="F277" s="391">
        <f>E277</f>
        <v>0</v>
      </c>
    </row>
    <row r="278" spans="1:6" ht="26.25" customHeight="1" x14ac:dyDescent="0.25">
      <c r="A278" s="389"/>
      <c r="B278" s="72" t="s">
        <v>272</v>
      </c>
      <c r="C278" s="73">
        <v>12</v>
      </c>
      <c r="D278" s="74">
        <v>0</v>
      </c>
      <c r="E278" s="74">
        <f>C278*D278</f>
        <v>0</v>
      </c>
      <c r="F278" s="392"/>
    </row>
    <row r="279" spans="1:6" x14ac:dyDescent="0.25">
      <c r="A279" s="389"/>
      <c r="B279" s="72"/>
      <c r="C279" s="73"/>
      <c r="D279" s="74">
        <v>0</v>
      </c>
      <c r="E279" s="74">
        <f>ROUND(C279*D279,0)</f>
        <v>0</v>
      </c>
      <c r="F279" s="392"/>
    </row>
    <row r="280" spans="1:6" ht="15.75" thickBot="1" x14ac:dyDescent="0.3">
      <c r="A280" s="413"/>
      <c r="B280" s="79"/>
      <c r="C280" s="73"/>
      <c r="D280" s="74">
        <v>0</v>
      </c>
      <c r="E280" s="74">
        <f>C280*D280</f>
        <v>0</v>
      </c>
      <c r="F280" s="393"/>
    </row>
    <row r="281" spans="1:6" ht="76.5" hidden="1" x14ac:dyDescent="0.25">
      <c r="A281" s="388">
        <v>4110</v>
      </c>
      <c r="B281" s="67" t="s">
        <v>124</v>
      </c>
      <c r="C281" s="58"/>
      <c r="D281" s="59"/>
      <c r="E281" s="59">
        <f>SUM(E282:E287)</f>
        <v>67876</v>
      </c>
      <c r="F281" s="391">
        <f>E281</f>
        <v>67876</v>
      </c>
    </row>
    <row r="282" spans="1:6" ht="36" hidden="1" x14ac:dyDescent="0.25">
      <c r="A282" s="389"/>
      <c r="B282" s="72" t="s">
        <v>145</v>
      </c>
      <c r="C282" s="73">
        <v>12</v>
      </c>
      <c r="D282" s="76">
        <f>D278*H1</f>
        <v>0</v>
      </c>
      <c r="E282" s="74">
        <f t="shared" ref="E282:E287" si="18">ROUND(C282*D282,0)</f>
        <v>0</v>
      </c>
      <c r="F282" s="392"/>
    </row>
    <row r="283" spans="1:6" ht="60" hidden="1" x14ac:dyDescent="0.25">
      <c r="A283" s="389"/>
      <c r="B283" s="108" t="s">
        <v>147</v>
      </c>
      <c r="C283" s="73">
        <v>12</v>
      </c>
      <c r="D283" s="76">
        <v>3043</v>
      </c>
      <c r="E283" s="74">
        <f t="shared" si="18"/>
        <v>36516</v>
      </c>
      <c r="F283" s="392"/>
    </row>
    <row r="284" spans="1:6" ht="60" hidden="1" x14ac:dyDescent="0.25">
      <c r="A284" s="389"/>
      <c r="B284" s="108" t="s">
        <v>148</v>
      </c>
      <c r="C284" s="73">
        <v>12</v>
      </c>
      <c r="D284" s="76">
        <v>2230</v>
      </c>
      <c r="E284" s="74">
        <f t="shared" si="18"/>
        <v>26760</v>
      </c>
      <c r="F284" s="392"/>
    </row>
    <row r="285" spans="1:6" ht="72" hidden="1" x14ac:dyDescent="0.25">
      <c r="A285" s="389"/>
      <c r="B285" s="108" t="s">
        <v>149</v>
      </c>
      <c r="C285" s="73">
        <v>1</v>
      </c>
      <c r="D285" s="76">
        <v>4000</v>
      </c>
      <c r="E285" s="74">
        <f t="shared" si="18"/>
        <v>4000</v>
      </c>
      <c r="F285" s="392"/>
    </row>
    <row r="286" spans="1:6" ht="48" hidden="1" x14ac:dyDescent="0.25">
      <c r="A286" s="389"/>
      <c r="B286" s="108" t="s">
        <v>217</v>
      </c>
      <c r="C286" s="73">
        <v>1</v>
      </c>
      <c r="D286" s="76">
        <v>600</v>
      </c>
      <c r="E286" s="74">
        <f t="shared" si="18"/>
        <v>600</v>
      </c>
      <c r="F286" s="392"/>
    </row>
    <row r="287" spans="1:6" ht="15.75" hidden="1" thickBot="1" x14ac:dyDescent="0.3">
      <c r="A287" s="389"/>
      <c r="B287" s="72"/>
      <c r="C287" s="73">
        <v>0</v>
      </c>
      <c r="D287" s="74"/>
      <c r="E287" s="74">
        <f t="shared" si="18"/>
        <v>0</v>
      </c>
      <c r="F287" s="392"/>
    </row>
    <row r="288" spans="1:6" x14ac:dyDescent="0.25">
      <c r="A288" s="388">
        <v>4120</v>
      </c>
      <c r="B288" s="155" t="s">
        <v>152</v>
      </c>
      <c r="C288" s="58"/>
      <c r="D288" s="59"/>
      <c r="E288" s="59">
        <f>SUM(E289:E294)</f>
        <v>485</v>
      </c>
      <c r="F288" s="391">
        <f>E288</f>
        <v>485</v>
      </c>
    </row>
    <row r="289" spans="1:6" ht="22.5" customHeight="1" x14ac:dyDescent="0.25">
      <c r="A289" s="389"/>
      <c r="B289" s="72" t="s">
        <v>195</v>
      </c>
      <c r="C289" s="73">
        <v>12</v>
      </c>
      <c r="D289" s="76">
        <f>D278*H3</f>
        <v>0</v>
      </c>
      <c r="E289" s="74">
        <f t="shared" ref="E289:E294" si="19">ROUND(C289*D289,0)</f>
        <v>0</v>
      </c>
      <c r="F289" s="392"/>
    </row>
    <row r="290" spans="1:6" ht="27" customHeight="1" x14ac:dyDescent="0.25">
      <c r="A290" s="389"/>
      <c r="B290" s="108" t="s">
        <v>196</v>
      </c>
      <c r="C290" s="73">
        <v>12</v>
      </c>
      <c r="D290" s="76">
        <v>0</v>
      </c>
      <c r="E290" s="74">
        <f t="shared" si="19"/>
        <v>0</v>
      </c>
      <c r="F290" s="392"/>
    </row>
    <row r="291" spans="1:6" ht="37.5" customHeight="1" x14ac:dyDescent="0.25">
      <c r="A291" s="389"/>
      <c r="B291" s="108" t="s">
        <v>218</v>
      </c>
      <c r="C291" s="73">
        <v>12</v>
      </c>
      <c r="D291" s="76">
        <v>40.43</v>
      </c>
      <c r="E291" s="74">
        <f t="shared" si="19"/>
        <v>485</v>
      </c>
      <c r="F291" s="392"/>
    </row>
    <row r="292" spans="1:6" ht="33.75" customHeight="1" x14ac:dyDescent="0.25">
      <c r="A292" s="389"/>
      <c r="B292" s="108" t="s">
        <v>198</v>
      </c>
      <c r="C292" s="73">
        <v>1</v>
      </c>
      <c r="D292" s="76"/>
      <c r="E292" s="74">
        <f t="shared" si="19"/>
        <v>0</v>
      </c>
      <c r="F292" s="392"/>
    </row>
    <row r="293" spans="1:6" ht="33" customHeight="1" x14ac:dyDescent="0.25">
      <c r="A293" s="389"/>
      <c r="B293" s="108" t="s">
        <v>219</v>
      </c>
      <c r="C293" s="73">
        <v>1</v>
      </c>
      <c r="D293" s="76"/>
      <c r="E293" s="74">
        <f t="shared" si="19"/>
        <v>0</v>
      </c>
      <c r="F293" s="392"/>
    </row>
    <row r="294" spans="1:6" ht="15.75" thickBot="1" x14ac:dyDescent="0.3">
      <c r="A294" s="389"/>
      <c r="B294" s="108"/>
      <c r="C294" s="107"/>
      <c r="D294" s="109"/>
      <c r="E294" s="109">
        <f t="shared" si="19"/>
        <v>0</v>
      </c>
      <c r="F294" s="392"/>
    </row>
    <row r="295" spans="1:6" ht="30.75" customHeight="1" thickBot="1" x14ac:dyDescent="0.3">
      <c r="A295" s="101">
        <v>4280</v>
      </c>
      <c r="B295" s="102" t="s">
        <v>36</v>
      </c>
      <c r="C295" s="103">
        <v>0</v>
      </c>
      <c r="D295" s="104">
        <v>0</v>
      </c>
      <c r="E295" s="104">
        <f>C295*D295</f>
        <v>0</v>
      </c>
      <c r="F295" s="105">
        <f>E295</f>
        <v>0</v>
      </c>
    </row>
    <row r="296" spans="1:6" ht="29.25" customHeight="1" thickBot="1" x14ac:dyDescent="0.3">
      <c r="A296" s="101">
        <v>4300</v>
      </c>
      <c r="B296" s="102" t="s">
        <v>37</v>
      </c>
      <c r="C296" s="103">
        <v>12</v>
      </c>
      <c r="D296" s="104">
        <v>0</v>
      </c>
      <c r="E296" s="104">
        <f>C296*D296</f>
        <v>0</v>
      </c>
      <c r="F296" s="105">
        <f>E296</f>
        <v>0</v>
      </c>
    </row>
    <row r="297" spans="1:6" ht="15.75" thickBot="1" x14ac:dyDescent="0.3">
      <c r="A297" s="71">
        <v>4440</v>
      </c>
      <c r="B297" s="112" t="s">
        <v>173</v>
      </c>
      <c r="C297" s="113">
        <v>1</v>
      </c>
      <c r="D297" s="114">
        <v>0</v>
      </c>
      <c r="E297" s="114">
        <f>C297*D297</f>
        <v>0</v>
      </c>
      <c r="F297" s="75">
        <f>E297</f>
        <v>0</v>
      </c>
    </row>
    <row r="298" spans="1:6" ht="25.5" customHeight="1" x14ac:dyDescent="0.25">
      <c r="A298" s="388">
        <v>4790</v>
      </c>
      <c r="B298" s="67" t="s">
        <v>220</v>
      </c>
      <c r="C298" s="58"/>
      <c r="D298" s="59"/>
      <c r="E298" s="59">
        <f>SUM(E299:E306)</f>
        <v>19800</v>
      </c>
      <c r="F298" s="391">
        <f>E298</f>
        <v>19800</v>
      </c>
    </row>
    <row r="299" spans="1:6" ht="18.75" customHeight="1" x14ac:dyDescent="0.25">
      <c r="A299" s="389"/>
      <c r="B299" s="119" t="s">
        <v>182</v>
      </c>
      <c r="C299" s="73">
        <v>12</v>
      </c>
      <c r="D299" s="74">
        <v>0</v>
      </c>
      <c r="E299" s="74">
        <f>C299*D299</f>
        <v>0</v>
      </c>
      <c r="F299" s="392"/>
    </row>
    <row r="300" spans="1:6" ht="18.75" customHeight="1" x14ac:dyDescent="0.25">
      <c r="A300" s="389"/>
      <c r="B300" s="119" t="s">
        <v>183</v>
      </c>
      <c r="C300" s="88">
        <v>0.01</v>
      </c>
      <c r="D300" s="76">
        <v>0</v>
      </c>
      <c r="E300" s="74">
        <f>D300</f>
        <v>0</v>
      </c>
      <c r="F300" s="392"/>
    </row>
    <row r="301" spans="1:6" ht="18.75" customHeight="1" x14ac:dyDescent="0.25">
      <c r="A301" s="389"/>
      <c r="B301" s="120" t="s">
        <v>184</v>
      </c>
      <c r="C301" s="73">
        <v>12</v>
      </c>
      <c r="D301" s="74">
        <v>1650</v>
      </c>
      <c r="E301" s="74">
        <f t="shared" ref="E301:E307" si="20">C301*D301</f>
        <v>19800</v>
      </c>
      <c r="F301" s="392"/>
    </row>
    <row r="302" spans="1:6" ht="18.75" customHeight="1" x14ac:dyDescent="0.25">
      <c r="A302" s="389"/>
      <c r="B302" s="108"/>
      <c r="C302" s="73"/>
      <c r="D302" s="74"/>
      <c r="E302" s="74">
        <f>ROUND(C302*D302,0)</f>
        <v>0</v>
      </c>
      <c r="F302" s="392"/>
    </row>
    <row r="303" spans="1:6" ht="18.75" customHeight="1" x14ac:dyDescent="0.25">
      <c r="A303" s="389"/>
      <c r="B303" s="72"/>
      <c r="C303" s="73"/>
      <c r="D303" s="74"/>
      <c r="E303" s="74">
        <f t="shared" si="20"/>
        <v>0</v>
      </c>
      <c r="F303" s="392"/>
    </row>
    <row r="304" spans="1:6" ht="18.75" customHeight="1" x14ac:dyDescent="0.25">
      <c r="A304" s="389"/>
      <c r="B304" s="72" t="s">
        <v>185</v>
      </c>
      <c r="C304" s="73">
        <v>1</v>
      </c>
      <c r="D304" s="74">
        <v>0</v>
      </c>
      <c r="E304" s="74">
        <f t="shared" si="20"/>
        <v>0</v>
      </c>
      <c r="F304" s="392"/>
    </row>
    <row r="305" spans="1:6" ht="18.75" customHeight="1" x14ac:dyDescent="0.25">
      <c r="A305" s="389"/>
      <c r="B305" s="121" t="s">
        <v>208</v>
      </c>
      <c r="C305" s="73">
        <v>1</v>
      </c>
      <c r="D305" s="74">
        <v>0</v>
      </c>
      <c r="E305" s="74">
        <f t="shared" si="20"/>
        <v>0</v>
      </c>
      <c r="F305" s="392"/>
    </row>
    <row r="306" spans="1:6" ht="18.75" customHeight="1" thickBot="1" x14ac:dyDescent="0.3">
      <c r="A306" s="389"/>
      <c r="B306" s="121" t="s">
        <v>203</v>
      </c>
      <c r="C306" s="73">
        <v>1</v>
      </c>
      <c r="D306" s="74">
        <v>0</v>
      </c>
      <c r="E306" s="74">
        <f t="shared" si="20"/>
        <v>0</v>
      </c>
      <c r="F306" s="392"/>
    </row>
    <row r="307" spans="1:6" ht="39" customHeight="1" thickBot="1" x14ac:dyDescent="0.3">
      <c r="A307" s="144">
        <v>4800</v>
      </c>
      <c r="B307" s="115" t="s">
        <v>101</v>
      </c>
      <c r="C307" s="103">
        <v>1</v>
      </c>
      <c r="D307" s="104">
        <v>0</v>
      </c>
      <c r="E307" s="104">
        <f t="shared" si="20"/>
        <v>0</v>
      </c>
      <c r="F307" s="105">
        <f>E307</f>
        <v>0</v>
      </c>
    </row>
    <row r="308" spans="1:6" x14ac:dyDescent="0.25">
      <c r="A308" s="417"/>
      <c r="B308" s="418"/>
      <c r="C308" s="418"/>
      <c r="D308" s="418"/>
      <c r="E308" s="418"/>
      <c r="F308" s="419"/>
    </row>
    <row r="309" spans="1:6" ht="90" customHeight="1" x14ac:dyDescent="0.25">
      <c r="A309" s="259">
        <v>801</v>
      </c>
      <c r="B309" s="260" t="s">
        <v>222</v>
      </c>
      <c r="C309" s="261"/>
      <c r="D309" s="262"/>
      <c r="E309" s="262">
        <f>SUM(E311)</f>
        <v>0</v>
      </c>
      <c r="F309" s="263">
        <f>SUM(F310:F311)</f>
        <v>0</v>
      </c>
    </row>
    <row r="310" spans="1:6" x14ac:dyDescent="0.25">
      <c r="A310" s="156">
        <v>4210</v>
      </c>
      <c r="B310" s="157" t="s">
        <v>160</v>
      </c>
      <c r="C310" s="158">
        <v>0</v>
      </c>
      <c r="D310" s="159">
        <v>0</v>
      </c>
      <c r="E310" s="159">
        <f>C310*D310</f>
        <v>0</v>
      </c>
      <c r="F310" s="151">
        <f>E310</f>
        <v>0</v>
      </c>
    </row>
    <row r="311" spans="1:6" x14ac:dyDescent="0.25">
      <c r="A311" s="156">
        <v>4240</v>
      </c>
      <c r="B311" s="157" t="s">
        <v>223</v>
      </c>
      <c r="C311" s="158">
        <v>0</v>
      </c>
      <c r="D311" s="159">
        <v>0</v>
      </c>
      <c r="E311" s="159">
        <f>C311*D311</f>
        <v>0</v>
      </c>
      <c r="F311" s="151">
        <f>E311</f>
        <v>0</v>
      </c>
    </row>
    <row r="312" spans="1:6" ht="15.75" thickBot="1" x14ac:dyDescent="0.3">
      <c r="A312" s="152"/>
      <c r="B312" s="160"/>
      <c r="C312" s="161"/>
      <c r="D312" s="162"/>
      <c r="E312" s="162"/>
      <c r="F312" s="153"/>
    </row>
    <row r="313" spans="1:6" ht="15.75" thickBot="1" x14ac:dyDescent="0.3">
      <c r="A313" s="101"/>
      <c r="B313" s="103" t="s">
        <v>22</v>
      </c>
      <c r="C313" s="163"/>
      <c r="D313" s="147"/>
      <c r="E313" s="147">
        <f>SUM(E9+E211+E215+E276+E309+E177+E115+E243)</f>
        <v>3539562.83</v>
      </c>
      <c r="F313" s="147">
        <f>SUM(F9+F115+F177+F211+F215+F243+F276+F309)</f>
        <v>3539562.83</v>
      </c>
    </row>
  </sheetData>
  <mergeCells count="80">
    <mergeCell ref="A1:F1"/>
    <mergeCell ref="A3:F3"/>
    <mergeCell ref="A10:A16"/>
    <mergeCell ref="F10:F16"/>
    <mergeCell ref="A17:A23"/>
    <mergeCell ref="F17:F23"/>
    <mergeCell ref="A25:A35"/>
    <mergeCell ref="F25:F35"/>
    <mergeCell ref="A36:A45"/>
    <mergeCell ref="F36:F45"/>
    <mergeCell ref="A47:A58"/>
    <mergeCell ref="F47:F58"/>
    <mergeCell ref="A59:A61"/>
    <mergeCell ref="F59:F61"/>
    <mergeCell ref="A62:A65"/>
    <mergeCell ref="F62:F65"/>
    <mergeCell ref="A66:A68"/>
    <mergeCell ref="F66:F68"/>
    <mergeCell ref="A70:A85"/>
    <mergeCell ref="F70:F85"/>
    <mergeCell ref="A92:A100"/>
    <mergeCell ref="F92:F100"/>
    <mergeCell ref="A102:A110"/>
    <mergeCell ref="F102:F110"/>
    <mergeCell ref="A116:A119"/>
    <mergeCell ref="F116:F119"/>
    <mergeCell ref="A120:A126"/>
    <mergeCell ref="F120:F126"/>
    <mergeCell ref="A128:A137"/>
    <mergeCell ref="F128:F137"/>
    <mergeCell ref="A178:F178"/>
    <mergeCell ref="A138:A147"/>
    <mergeCell ref="F138:F147"/>
    <mergeCell ref="F149:F151"/>
    <mergeCell ref="A152:A153"/>
    <mergeCell ref="F152:F153"/>
    <mergeCell ref="A155:A157"/>
    <mergeCell ref="F155:F157"/>
    <mergeCell ref="A159:A165"/>
    <mergeCell ref="F159:F165"/>
    <mergeCell ref="A166:A174"/>
    <mergeCell ref="F166:F174"/>
    <mergeCell ref="A176:F176"/>
    <mergeCell ref="A179:A182"/>
    <mergeCell ref="F179:F182"/>
    <mergeCell ref="A183:A190"/>
    <mergeCell ref="F183:F190"/>
    <mergeCell ref="A191:A198"/>
    <mergeCell ref="F191:F198"/>
    <mergeCell ref="A200:A208"/>
    <mergeCell ref="F200:F208"/>
    <mergeCell ref="A210:F210"/>
    <mergeCell ref="A214:F214"/>
    <mergeCell ref="A216:A222"/>
    <mergeCell ref="F216:F222"/>
    <mergeCell ref="A224:A227"/>
    <mergeCell ref="F224:F228"/>
    <mergeCell ref="A229:A232"/>
    <mergeCell ref="F229:F233"/>
    <mergeCell ref="A234:A237"/>
    <mergeCell ref="F234:F237"/>
    <mergeCell ref="A281:A287"/>
    <mergeCell ref="F281:F287"/>
    <mergeCell ref="A242:F242"/>
    <mergeCell ref="A244:A247"/>
    <mergeCell ref="F244:F247"/>
    <mergeCell ref="A249:A255"/>
    <mergeCell ref="F249:F255"/>
    <mergeCell ref="A256:A262"/>
    <mergeCell ref="F256:F262"/>
    <mergeCell ref="A265:A273"/>
    <mergeCell ref="F265:F273"/>
    <mergeCell ref="A275:F275"/>
    <mergeCell ref="A277:A280"/>
    <mergeCell ref="F277:F280"/>
    <mergeCell ref="A288:A294"/>
    <mergeCell ref="F288:F294"/>
    <mergeCell ref="A298:A306"/>
    <mergeCell ref="F298:F306"/>
    <mergeCell ref="A308:F308"/>
  </mergeCells>
  <conditionalFormatting sqref="C2:F4 E5:F5 C6:F17 E18:E23 C24:F25 E26:E35 C36:F36 E37:E45 C46:F47 C48:E58 C59:F62 C63:D65 C66:F66 C67:E68 C69:F70 C71:E85 C86:F92 C93:E101 F101 C102:F102 C103:E110 C111:F149 C150:E151 C152:F175 C177:F177 C179:F179 C180:E182 C183:F183 C184:E190 C191:F191 C192:E198 C199:F200 C201:E208 C209:F209 C211:F213 C215:F216 C217:D222 C223:F224 C225:E228 C229:F229 C230:E233 C234:F235 C236:E237 C238:F241 C243:F244 C245:E248 C249:F249 C250:E255 C256:F256 C257:E262 C263:F265 C266:E273 C274:F274 C276:F277 C278:E280 C281:F281 C282:E287 C288:F288 C289:E294 C295:F298 C299:E306 C307:F307 C309:F313">
    <cfRule type="cellIs" dxfId="2" priority="1" stopIfTrue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2FCF2-300B-4E41-8DEE-D86E00F7A710}">
  <dimension ref="A1:F312"/>
  <sheetViews>
    <sheetView zoomScale="120" zoomScaleNormal="120" workbookViewId="0">
      <selection activeCell="F3" sqref="F3"/>
    </sheetView>
  </sheetViews>
  <sheetFormatPr defaultRowHeight="15" x14ac:dyDescent="0.25"/>
  <cols>
    <col min="2" max="2" width="39.5703125" customWidth="1"/>
    <col min="4" max="4" width="14.7109375" customWidth="1"/>
    <col min="5" max="5" width="20" customWidth="1"/>
    <col min="6" max="6" width="29" customWidth="1"/>
  </cols>
  <sheetData>
    <row r="1" spans="1:6" x14ac:dyDescent="0.25">
      <c r="A1" s="403" t="s">
        <v>297</v>
      </c>
      <c r="B1" s="403"/>
      <c r="C1" s="403"/>
      <c r="D1" s="403"/>
      <c r="E1" s="403"/>
      <c r="F1" s="48"/>
    </row>
    <row r="2" spans="1:6" x14ac:dyDescent="0.25">
      <c r="A2" s="403" t="s">
        <v>298</v>
      </c>
      <c r="B2" s="403"/>
      <c r="C2" s="403"/>
      <c r="D2" s="48"/>
      <c r="E2" s="48"/>
      <c r="F2" s="48"/>
    </row>
    <row r="3" spans="1:6" ht="34.5" customHeight="1" x14ac:dyDescent="0.25">
      <c r="A3" s="431" t="s">
        <v>277</v>
      </c>
      <c r="B3" s="431"/>
      <c r="C3" s="431"/>
      <c r="D3" s="48"/>
      <c r="E3" s="48"/>
      <c r="F3" s="48"/>
    </row>
    <row r="4" spans="1:6" ht="15.75" thickBot="1" x14ac:dyDescent="0.3">
      <c r="A4" s="48"/>
      <c r="B4" s="49"/>
      <c r="C4" s="50"/>
      <c r="D4" s="50"/>
      <c r="E4" s="50"/>
      <c r="F4" s="50"/>
    </row>
    <row r="5" spans="1:6" ht="39" thickBot="1" x14ac:dyDescent="0.3">
      <c r="A5" s="170" t="s">
        <v>125</v>
      </c>
      <c r="B5" s="170" t="s">
        <v>126</v>
      </c>
      <c r="C5" s="170" t="s">
        <v>127</v>
      </c>
      <c r="D5" s="170" t="s">
        <v>128</v>
      </c>
      <c r="E5" s="170" t="s">
        <v>129</v>
      </c>
      <c r="F5" s="170" t="s">
        <v>130</v>
      </c>
    </row>
    <row r="6" spans="1:6" ht="15.75" thickBot="1" x14ac:dyDescent="0.3">
      <c r="A6" s="51"/>
      <c r="B6" s="52"/>
      <c r="C6" s="53"/>
      <c r="D6" s="53"/>
      <c r="E6" s="54"/>
      <c r="F6" s="55"/>
    </row>
    <row r="7" spans="1:6" x14ac:dyDescent="0.25">
      <c r="A7" s="56">
        <v>801</v>
      </c>
      <c r="B7" s="57" t="s">
        <v>131</v>
      </c>
      <c r="C7" s="58"/>
      <c r="D7" s="59"/>
      <c r="E7" s="59">
        <f>SUM(E9+E204+E208+E269+E170+E302+E108+E236)</f>
        <v>6428509.1299999999</v>
      </c>
      <c r="F7" s="60">
        <f>SUM(F9+F204+F208+F269+F170+F302+F108+F236)</f>
        <v>6428509.1299999999</v>
      </c>
    </row>
    <row r="8" spans="1:6" x14ac:dyDescent="0.25">
      <c r="A8" s="61"/>
      <c r="B8" s="62"/>
      <c r="C8" s="63"/>
      <c r="D8" s="64"/>
      <c r="E8" s="64"/>
      <c r="F8" s="65"/>
    </row>
    <row r="9" spans="1:6" ht="15.75" thickBot="1" x14ac:dyDescent="0.3">
      <c r="A9" s="173">
        <v>801</v>
      </c>
      <c r="B9" s="174" t="s">
        <v>132</v>
      </c>
      <c r="C9" s="175"/>
      <c r="D9" s="176"/>
      <c r="E9" s="176">
        <f>E10+E17+E24+E25+E36+E46+E47+E59+E62+E63+E79+E80+E81+E82+E83+E84+E85+E94+E95+E104+E105+E106+E51+E54</f>
        <v>5027236.13</v>
      </c>
      <c r="F9" s="177">
        <f>SUM(F10:F106)</f>
        <v>5027236.13</v>
      </c>
    </row>
    <row r="10" spans="1:6" ht="34.5" customHeight="1" x14ac:dyDescent="0.25">
      <c r="A10" s="66">
        <v>3020</v>
      </c>
      <c r="B10" s="67" t="s">
        <v>133</v>
      </c>
      <c r="C10" s="68"/>
      <c r="D10" s="69"/>
      <c r="E10" s="59">
        <f>SUM(E11:E16)</f>
        <v>151436.79999999999</v>
      </c>
      <c r="F10" s="70">
        <f>E10</f>
        <v>151436.79999999999</v>
      </c>
    </row>
    <row r="11" spans="1:6" ht="34.5" customHeight="1" x14ac:dyDescent="0.25">
      <c r="A11" s="71"/>
      <c r="B11" s="72" t="s">
        <v>134</v>
      </c>
      <c r="C11" s="73">
        <v>12</v>
      </c>
      <c r="D11" s="74">
        <v>11883.9</v>
      </c>
      <c r="E11" s="74">
        <f t="shared" ref="E11:E16" si="0">C11*D11</f>
        <v>142606.79999999999</v>
      </c>
      <c r="F11" s="75"/>
    </row>
    <row r="12" spans="1:6" ht="34.5" customHeight="1" x14ac:dyDescent="0.25">
      <c r="A12" s="71"/>
      <c r="B12" s="72" t="s">
        <v>135</v>
      </c>
      <c r="C12" s="73">
        <v>1</v>
      </c>
      <c r="D12" s="76">
        <v>2000</v>
      </c>
      <c r="E12" s="74">
        <f t="shared" si="0"/>
        <v>2000</v>
      </c>
      <c r="F12" s="75"/>
    </row>
    <row r="13" spans="1:6" ht="34.5" customHeight="1" x14ac:dyDescent="0.25">
      <c r="A13" s="71"/>
      <c r="B13" s="72" t="s">
        <v>225</v>
      </c>
      <c r="C13" s="73">
        <v>1</v>
      </c>
      <c r="D13" s="74">
        <f>830+1500+1500</f>
        <v>3830</v>
      </c>
      <c r="E13" s="74">
        <f t="shared" si="0"/>
        <v>3830</v>
      </c>
      <c r="F13" s="75"/>
    </row>
    <row r="14" spans="1:6" ht="34.5" customHeight="1" x14ac:dyDescent="0.25">
      <c r="A14" s="71"/>
      <c r="B14" s="72" t="s">
        <v>136</v>
      </c>
      <c r="C14" s="73">
        <v>3</v>
      </c>
      <c r="D14" s="76">
        <v>1000</v>
      </c>
      <c r="E14" s="74">
        <f t="shared" si="0"/>
        <v>3000</v>
      </c>
      <c r="F14" s="75"/>
    </row>
    <row r="15" spans="1:6" ht="34.5" customHeight="1" x14ac:dyDescent="0.25">
      <c r="A15" s="71"/>
      <c r="B15" s="77"/>
      <c r="C15" s="73">
        <v>0</v>
      </c>
      <c r="D15" s="74">
        <v>0</v>
      </c>
      <c r="E15" s="74">
        <f>ROUND(C15*D15,0)</f>
        <v>0</v>
      </c>
      <c r="F15" s="75"/>
    </row>
    <row r="16" spans="1:6" ht="34.5" customHeight="1" thickBot="1" x14ac:dyDescent="0.3">
      <c r="A16" s="78"/>
      <c r="B16" s="79"/>
      <c r="C16" s="80">
        <v>0</v>
      </c>
      <c r="D16" s="81">
        <v>0</v>
      </c>
      <c r="E16" s="82">
        <f t="shared" si="0"/>
        <v>0</v>
      </c>
      <c r="F16" s="83"/>
    </row>
    <row r="17" spans="1:6" ht="34.5" customHeight="1" x14ac:dyDescent="0.25">
      <c r="A17" s="66">
        <v>4010</v>
      </c>
      <c r="B17" s="84" t="s">
        <v>137</v>
      </c>
      <c r="C17" s="85"/>
      <c r="D17" s="86"/>
      <c r="E17" s="87">
        <f>SUM(E18:E23)</f>
        <v>493654</v>
      </c>
      <c r="F17" s="70">
        <f>E17</f>
        <v>493654</v>
      </c>
    </row>
    <row r="18" spans="1:6" ht="20.25" customHeight="1" x14ac:dyDescent="0.25">
      <c r="A18" s="71"/>
      <c r="B18" s="72" t="s">
        <v>138</v>
      </c>
      <c r="C18" s="73">
        <v>12</v>
      </c>
      <c r="D18" s="74">
        <v>40542</v>
      </c>
      <c r="E18" s="86">
        <f t="shared" ref="E18:E23" si="1">C18*D18</f>
        <v>486504</v>
      </c>
      <c r="F18" s="75"/>
    </row>
    <row r="19" spans="1:6" ht="20.25" customHeight="1" x14ac:dyDescent="0.25">
      <c r="A19" s="71"/>
      <c r="B19" s="72" t="s">
        <v>139</v>
      </c>
      <c r="C19" s="88">
        <v>0</v>
      </c>
      <c r="D19" s="76"/>
      <c r="E19" s="86">
        <f>ROUND(C19*D19,0)</f>
        <v>0</v>
      </c>
      <c r="F19" s="75"/>
    </row>
    <row r="20" spans="1:6" ht="20.25" customHeight="1" x14ac:dyDescent="0.25">
      <c r="A20" s="71"/>
      <c r="B20" s="72"/>
      <c r="C20" s="89">
        <v>1</v>
      </c>
      <c r="D20" s="89">
        <v>0</v>
      </c>
      <c r="E20" s="86">
        <f>ROUND(C20*D20,0)</f>
        <v>0</v>
      </c>
      <c r="F20" s="75"/>
    </row>
    <row r="21" spans="1:6" ht="20.25" customHeight="1" x14ac:dyDescent="0.25">
      <c r="A21" s="71"/>
      <c r="B21" s="72"/>
      <c r="C21" s="73">
        <v>1</v>
      </c>
      <c r="D21" s="74">
        <v>0</v>
      </c>
      <c r="E21" s="86">
        <f>ROUND(C21*D21,0)</f>
        <v>0</v>
      </c>
      <c r="F21" s="75"/>
    </row>
    <row r="22" spans="1:6" ht="20.25" customHeight="1" x14ac:dyDescent="0.25">
      <c r="A22" s="71"/>
      <c r="B22" s="72" t="s">
        <v>142</v>
      </c>
      <c r="C22" s="73">
        <v>1</v>
      </c>
      <c r="D22" s="74">
        <v>7150</v>
      </c>
      <c r="E22" s="74">
        <f t="shared" si="1"/>
        <v>7150</v>
      </c>
      <c r="F22" s="75"/>
    </row>
    <row r="23" spans="1:6" ht="20.25" customHeight="1" thickBot="1" x14ac:dyDescent="0.3">
      <c r="A23" s="78"/>
      <c r="B23" s="90" t="s">
        <v>143</v>
      </c>
      <c r="C23" s="91">
        <v>1</v>
      </c>
      <c r="D23" s="92">
        <v>0</v>
      </c>
      <c r="E23" s="92">
        <f t="shared" si="1"/>
        <v>0</v>
      </c>
      <c r="F23" s="83"/>
    </row>
    <row r="24" spans="1:6" ht="34.5" customHeight="1" thickBot="1" x14ac:dyDescent="0.3">
      <c r="A24" s="66">
        <v>4040</v>
      </c>
      <c r="B24" s="93" t="s">
        <v>144</v>
      </c>
      <c r="C24" s="94">
        <v>1</v>
      </c>
      <c r="D24" s="95">
        <v>40600</v>
      </c>
      <c r="E24" s="69">
        <f>C24*D24</f>
        <v>40600</v>
      </c>
      <c r="F24" s="70">
        <f>E24</f>
        <v>40600</v>
      </c>
    </row>
    <row r="25" spans="1:6" ht="34.5" customHeight="1" x14ac:dyDescent="0.25">
      <c r="A25" s="66">
        <v>4110</v>
      </c>
      <c r="B25" s="67" t="s">
        <v>124</v>
      </c>
      <c r="C25" s="96"/>
      <c r="D25" s="97"/>
      <c r="E25" s="59">
        <f>SUM(E26:E35)</f>
        <v>1005445</v>
      </c>
      <c r="F25" s="70">
        <f>E25</f>
        <v>1005445</v>
      </c>
    </row>
    <row r="26" spans="1:6" ht="25.5" customHeight="1" x14ac:dyDescent="0.25">
      <c r="A26" s="71"/>
      <c r="B26" s="72" t="s">
        <v>145</v>
      </c>
      <c r="C26" s="73">
        <v>12</v>
      </c>
      <c r="D26" s="76">
        <f>E11*17.19%</f>
        <v>24514.108920000002</v>
      </c>
      <c r="E26" s="74">
        <f t="shared" ref="E26:E35" si="2">ROUND(C26*D26,0)</f>
        <v>294169</v>
      </c>
      <c r="F26" s="75"/>
    </row>
    <row r="27" spans="1:6" ht="25.5" customHeight="1" x14ac:dyDescent="0.25">
      <c r="A27" s="71"/>
      <c r="B27" s="72" t="s">
        <v>146</v>
      </c>
      <c r="C27" s="73">
        <v>12</v>
      </c>
      <c r="D27" s="76">
        <f>D18*17.19%</f>
        <v>6969.1698000000006</v>
      </c>
      <c r="E27" s="74">
        <f t="shared" si="2"/>
        <v>83630</v>
      </c>
      <c r="F27" s="75"/>
    </row>
    <row r="28" spans="1:6" ht="25.5" customHeight="1" x14ac:dyDescent="0.25">
      <c r="A28" s="71"/>
      <c r="B28" s="72" t="s">
        <v>147</v>
      </c>
      <c r="C28" s="73">
        <v>12</v>
      </c>
      <c r="D28" s="76">
        <f>22642.32+19645.25</f>
        <v>42287.57</v>
      </c>
      <c r="E28" s="74">
        <f t="shared" si="2"/>
        <v>507451</v>
      </c>
      <c r="F28" s="75"/>
    </row>
    <row r="29" spans="1:6" ht="25.5" customHeight="1" x14ac:dyDescent="0.25">
      <c r="A29" s="71"/>
      <c r="B29" s="72" t="s">
        <v>148</v>
      </c>
      <c r="C29" s="73">
        <v>12</v>
      </c>
      <c r="D29" s="76">
        <f>1247.99+2800.82</f>
        <v>4048.8100000000004</v>
      </c>
      <c r="E29" s="74">
        <f t="shared" si="2"/>
        <v>48586</v>
      </c>
      <c r="F29" s="75"/>
    </row>
    <row r="30" spans="1:6" ht="25.5" customHeight="1" x14ac:dyDescent="0.25">
      <c r="A30" s="71"/>
      <c r="B30" s="72" t="s">
        <v>226</v>
      </c>
      <c r="C30" s="73">
        <v>1</v>
      </c>
      <c r="D30" s="76">
        <f>2961.14+3237.39</f>
        <v>6198.53</v>
      </c>
      <c r="E30" s="74">
        <f t="shared" si="2"/>
        <v>6199</v>
      </c>
      <c r="F30" s="75"/>
    </row>
    <row r="31" spans="1:6" ht="25.5" customHeight="1" x14ac:dyDescent="0.25">
      <c r="A31" s="71"/>
      <c r="B31" s="72"/>
      <c r="C31" s="73">
        <v>1</v>
      </c>
      <c r="D31" s="74">
        <v>0</v>
      </c>
      <c r="E31" s="74">
        <f t="shared" si="2"/>
        <v>0</v>
      </c>
      <c r="F31" s="75"/>
    </row>
    <row r="32" spans="1:6" ht="25.5" customHeight="1" x14ac:dyDescent="0.25">
      <c r="A32" s="71"/>
      <c r="B32" s="72"/>
      <c r="C32" s="73">
        <v>1</v>
      </c>
      <c r="D32" s="74">
        <v>0</v>
      </c>
      <c r="E32" s="74">
        <f t="shared" si="2"/>
        <v>0</v>
      </c>
      <c r="F32" s="75"/>
    </row>
    <row r="33" spans="1:6" ht="25.5" customHeight="1" x14ac:dyDescent="0.25">
      <c r="A33" s="71"/>
      <c r="B33" s="72" t="s">
        <v>227</v>
      </c>
      <c r="C33" s="73">
        <v>1</v>
      </c>
      <c r="D33" s="76">
        <v>12033</v>
      </c>
      <c r="E33" s="74">
        <f t="shared" si="2"/>
        <v>12033</v>
      </c>
      <c r="F33" s="75"/>
    </row>
    <row r="34" spans="1:6" ht="25.5" customHeight="1" x14ac:dyDescent="0.25">
      <c r="A34" s="71"/>
      <c r="B34" s="72" t="s">
        <v>150</v>
      </c>
      <c r="C34" s="73">
        <v>10</v>
      </c>
      <c r="D34" s="76">
        <f>D46*H1</f>
        <v>0</v>
      </c>
      <c r="E34" s="74">
        <f t="shared" si="2"/>
        <v>0</v>
      </c>
      <c r="F34" s="75"/>
    </row>
    <row r="35" spans="1:6" ht="25.5" customHeight="1" thickBot="1" x14ac:dyDescent="0.3">
      <c r="A35" s="78"/>
      <c r="B35" s="79" t="s">
        <v>151</v>
      </c>
      <c r="C35" s="98">
        <v>1</v>
      </c>
      <c r="D35" s="99">
        <f>24584+28793.25</f>
        <v>53377.25</v>
      </c>
      <c r="E35" s="82">
        <f t="shared" si="2"/>
        <v>53377</v>
      </c>
      <c r="F35" s="83"/>
    </row>
    <row r="36" spans="1:6" ht="25.5" customHeight="1" x14ac:dyDescent="0.25">
      <c r="A36" s="66">
        <v>4120</v>
      </c>
      <c r="B36" s="67" t="s">
        <v>152</v>
      </c>
      <c r="C36" s="94"/>
      <c r="D36" s="95"/>
      <c r="E36" s="59">
        <f>SUM(E37:E45)</f>
        <v>114530</v>
      </c>
      <c r="F36" s="70">
        <f>E36</f>
        <v>114530</v>
      </c>
    </row>
    <row r="37" spans="1:6" ht="25.5" customHeight="1" x14ac:dyDescent="0.25">
      <c r="A37" s="71"/>
      <c r="B37" s="72" t="s">
        <v>153</v>
      </c>
      <c r="C37" s="73">
        <v>12</v>
      </c>
      <c r="D37" s="76">
        <f>198.99+240.88</f>
        <v>439.87</v>
      </c>
      <c r="E37" s="74">
        <f t="shared" ref="E37:E45" si="3">ROUND(C37*D37,0)</f>
        <v>5278</v>
      </c>
      <c r="F37" s="75"/>
    </row>
    <row r="38" spans="1:6" ht="25.5" customHeight="1" x14ac:dyDescent="0.25">
      <c r="A38" s="71"/>
      <c r="B38" s="72" t="s">
        <v>154</v>
      </c>
      <c r="C38" s="73">
        <v>12</v>
      </c>
      <c r="D38" s="76">
        <f>993.48+628.43</f>
        <v>1621.9099999999999</v>
      </c>
      <c r="E38" s="74">
        <f t="shared" si="3"/>
        <v>19463</v>
      </c>
      <c r="F38" s="75"/>
    </row>
    <row r="39" spans="1:6" ht="25.5" customHeight="1" x14ac:dyDescent="0.25">
      <c r="A39" s="71"/>
      <c r="B39" s="72" t="s">
        <v>155</v>
      </c>
      <c r="C39" s="73">
        <v>12</v>
      </c>
      <c r="D39" s="76">
        <f>2740.94+3227.09</f>
        <v>5968.0300000000007</v>
      </c>
      <c r="E39" s="74">
        <f t="shared" si="3"/>
        <v>71616</v>
      </c>
      <c r="F39" s="75"/>
    </row>
    <row r="40" spans="1:6" ht="25.5" customHeight="1" x14ac:dyDescent="0.25">
      <c r="A40" s="71"/>
      <c r="B40" s="72" t="s">
        <v>156</v>
      </c>
      <c r="C40" s="73">
        <v>12</v>
      </c>
      <c r="D40" s="76">
        <f>390.78+177.87</f>
        <v>568.65</v>
      </c>
      <c r="E40" s="74">
        <f t="shared" si="3"/>
        <v>6824</v>
      </c>
      <c r="F40" s="75"/>
    </row>
    <row r="41" spans="1:6" ht="25.5" customHeight="1" x14ac:dyDescent="0.25">
      <c r="A41" s="71"/>
      <c r="B41" s="72" t="s">
        <v>226</v>
      </c>
      <c r="C41" s="73">
        <v>1</v>
      </c>
      <c r="D41" s="76">
        <f>413.14+461.41</f>
        <v>874.55</v>
      </c>
      <c r="E41" s="74">
        <f t="shared" si="3"/>
        <v>875</v>
      </c>
      <c r="F41" s="75"/>
    </row>
    <row r="42" spans="1:6" ht="25.5" customHeight="1" x14ac:dyDescent="0.25">
      <c r="A42" s="71"/>
      <c r="B42" s="72"/>
      <c r="C42" s="73">
        <v>0</v>
      </c>
      <c r="D42" s="74">
        <v>0</v>
      </c>
      <c r="E42" s="74">
        <f t="shared" si="3"/>
        <v>0</v>
      </c>
      <c r="F42" s="75"/>
    </row>
    <row r="43" spans="1:6" ht="25.5" customHeight="1" x14ac:dyDescent="0.25">
      <c r="A43" s="71"/>
      <c r="B43" s="72" t="s">
        <v>228</v>
      </c>
      <c r="C43" s="73">
        <v>1</v>
      </c>
      <c r="D43" s="181">
        <f>1715+1225</f>
        <v>2940</v>
      </c>
      <c r="E43" s="74">
        <f t="shared" si="3"/>
        <v>2940</v>
      </c>
      <c r="F43" s="75"/>
    </row>
    <row r="44" spans="1:6" ht="25.5" customHeight="1" x14ac:dyDescent="0.25">
      <c r="A44" s="71"/>
      <c r="B44" s="72" t="s">
        <v>157</v>
      </c>
      <c r="C44" s="73">
        <v>10</v>
      </c>
      <c r="D44" s="76">
        <f>D46*H3</f>
        <v>0</v>
      </c>
      <c r="E44" s="74">
        <f t="shared" si="3"/>
        <v>0</v>
      </c>
      <c r="F44" s="75"/>
    </row>
    <row r="45" spans="1:6" ht="25.5" customHeight="1" thickBot="1" x14ac:dyDescent="0.3">
      <c r="A45" s="78"/>
      <c r="B45" s="90" t="s">
        <v>158</v>
      </c>
      <c r="C45" s="80">
        <v>1</v>
      </c>
      <c r="D45" s="100">
        <f>4103.75+3430</f>
        <v>7533.75</v>
      </c>
      <c r="E45" s="82">
        <f t="shared" si="3"/>
        <v>7534</v>
      </c>
      <c r="F45" s="83"/>
    </row>
    <row r="46" spans="1:6" ht="34.5" customHeight="1" thickBot="1" x14ac:dyDescent="0.3">
      <c r="A46" s="66">
        <v>4170</v>
      </c>
      <c r="B46" s="93" t="s">
        <v>159</v>
      </c>
      <c r="C46" s="68">
        <v>0</v>
      </c>
      <c r="D46" s="69">
        <v>0</v>
      </c>
      <c r="E46" s="69">
        <f>C46*D46</f>
        <v>0</v>
      </c>
      <c r="F46" s="70">
        <f>E46</f>
        <v>0</v>
      </c>
    </row>
    <row r="47" spans="1:6" ht="34.5" customHeight="1" x14ac:dyDescent="0.25">
      <c r="A47" s="66">
        <v>4210</v>
      </c>
      <c r="B47" s="67" t="s">
        <v>160</v>
      </c>
      <c r="C47" s="58"/>
      <c r="D47" s="59"/>
      <c r="E47" s="59">
        <f>SUM(E48:E50)</f>
        <v>69000</v>
      </c>
      <c r="F47" s="70">
        <f>E47</f>
        <v>69000</v>
      </c>
    </row>
    <row r="48" spans="1:6" ht="34.5" customHeight="1" x14ac:dyDescent="0.25">
      <c r="A48" s="71"/>
      <c r="B48" s="106" t="s">
        <v>229</v>
      </c>
      <c r="C48" s="73">
        <v>1</v>
      </c>
      <c r="D48" s="74">
        <v>15000</v>
      </c>
      <c r="E48" s="74">
        <f>C48*D48</f>
        <v>15000</v>
      </c>
      <c r="F48" s="75"/>
    </row>
    <row r="49" spans="1:6" ht="34.5" customHeight="1" x14ac:dyDescent="0.25">
      <c r="A49" s="71"/>
      <c r="B49" s="106" t="s">
        <v>299</v>
      </c>
      <c r="C49" s="73">
        <v>1</v>
      </c>
      <c r="D49" s="74">
        <v>36000</v>
      </c>
      <c r="E49" s="74">
        <f t="shared" ref="E49:E50" si="4">C49*D49</f>
        <v>36000</v>
      </c>
      <c r="F49" s="75"/>
    </row>
    <row r="50" spans="1:6" ht="34.5" customHeight="1" thickBot="1" x14ac:dyDescent="0.3">
      <c r="A50" s="71"/>
      <c r="B50" s="106" t="s">
        <v>278</v>
      </c>
      <c r="C50" s="73">
        <v>1</v>
      </c>
      <c r="D50" s="74">
        <v>18000</v>
      </c>
      <c r="E50" s="74">
        <f t="shared" si="4"/>
        <v>18000</v>
      </c>
      <c r="F50" s="75"/>
    </row>
    <row r="51" spans="1:6" ht="34.5" customHeight="1" x14ac:dyDescent="0.25">
      <c r="A51" s="66">
        <v>4240</v>
      </c>
      <c r="B51" s="67" t="s">
        <v>161</v>
      </c>
      <c r="C51" s="58"/>
      <c r="D51" s="59"/>
      <c r="E51" s="59">
        <f>SUM(E52:E53)</f>
        <v>0</v>
      </c>
      <c r="F51" s="70">
        <f>E51</f>
        <v>0</v>
      </c>
    </row>
    <row r="52" spans="1:6" ht="16.5" customHeight="1" x14ac:dyDescent="0.25">
      <c r="A52" s="71"/>
      <c r="B52" s="183"/>
      <c r="C52" s="184"/>
      <c r="D52" s="185"/>
      <c r="E52" s="74">
        <f>C52*D52</f>
        <v>0</v>
      </c>
      <c r="F52" s="75"/>
    </row>
    <row r="53" spans="1:6" ht="16.5" customHeight="1" thickBot="1" x14ac:dyDescent="0.3">
      <c r="A53" s="78"/>
      <c r="B53" s="79"/>
      <c r="C53" s="98"/>
      <c r="D53" s="82"/>
      <c r="E53" s="82">
        <f>C53*D53</f>
        <v>0</v>
      </c>
      <c r="F53" s="83"/>
    </row>
    <row r="54" spans="1:6" ht="34.5" customHeight="1" x14ac:dyDescent="0.25">
      <c r="A54" s="66">
        <v>4260</v>
      </c>
      <c r="B54" s="84" t="s">
        <v>162</v>
      </c>
      <c r="C54" s="116"/>
      <c r="D54" s="87"/>
      <c r="E54" s="186">
        <f>SUM(E55:E58)</f>
        <v>181460</v>
      </c>
      <c r="F54" s="70">
        <f>E54</f>
        <v>181460</v>
      </c>
    </row>
    <row r="55" spans="1:6" ht="34.5" customHeight="1" x14ac:dyDescent="0.25">
      <c r="A55" s="71"/>
      <c r="B55" s="72" t="s">
        <v>163</v>
      </c>
      <c r="C55" s="73">
        <v>12</v>
      </c>
      <c r="D55" s="74">
        <v>740</v>
      </c>
      <c r="E55" s="110">
        <f>ROUND(C55*D55,0)</f>
        <v>8880</v>
      </c>
      <c r="F55" s="75"/>
    </row>
    <row r="56" spans="1:6" ht="34.5" customHeight="1" x14ac:dyDescent="0.25">
      <c r="A56" s="71"/>
      <c r="B56" s="72" t="s">
        <v>164</v>
      </c>
      <c r="C56" s="73">
        <v>4</v>
      </c>
      <c r="D56" s="74">
        <v>900</v>
      </c>
      <c r="E56" s="110">
        <f>ROUND(C56*D56,0)</f>
        <v>3600</v>
      </c>
      <c r="F56" s="75"/>
    </row>
    <row r="57" spans="1:6" ht="34.5" customHeight="1" x14ac:dyDescent="0.25">
      <c r="A57" s="71"/>
      <c r="B57" s="72" t="s">
        <v>301</v>
      </c>
      <c r="C57" s="73">
        <v>12</v>
      </c>
      <c r="D57" s="74">
        <v>980</v>
      </c>
      <c r="E57" s="110">
        <f>D57</f>
        <v>980</v>
      </c>
      <c r="F57" s="75"/>
    </row>
    <row r="58" spans="1:6" ht="34.5" customHeight="1" thickBot="1" x14ac:dyDescent="0.3">
      <c r="A58" s="78"/>
      <c r="B58" s="72" t="s">
        <v>300</v>
      </c>
      <c r="C58" s="73">
        <v>12</v>
      </c>
      <c r="D58" s="74">
        <v>14000</v>
      </c>
      <c r="E58" s="110">
        <f>ROUND(C58*D58,0)</f>
        <v>168000</v>
      </c>
      <c r="F58" s="83"/>
    </row>
    <row r="59" spans="1:6" ht="34.5" customHeight="1" thickBot="1" x14ac:dyDescent="0.3">
      <c r="A59" s="66">
        <v>4270</v>
      </c>
      <c r="B59" s="102" t="s">
        <v>239</v>
      </c>
      <c r="C59" s="103">
        <v>1</v>
      </c>
      <c r="D59" s="104"/>
      <c r="E59" s="104">
        <f>SUM(E60:E61)</f>
        <v>36000</v>
      </c>
      <c r="F59" s="70">
        <f>E59</f>
        <v>36000</v>
      </c>
    </row>
    <row r="60" spans="1:6" ht="28.5" customHeight="1" thickBot="1" x14ac:dyDescent="0.3">
      <c r="A60" s="71"/>
      <c r="B60" s="187" t="s">
        <v>302</v>
      </c>
      <c r="C60" s="188">
        <v>1</v>
      </c>
      <c r="D60" s="189">
        <v>30000</v>
      </c>
      <c r="E60" s="189">
        <f>C60*D60</f>
        <v>30000</v>
      </c>
      <c r="F60" s="75"/>
    </row>
    <row r="61" spans="1:6" ht="28.5" customHeight="1" thickBot="1" x14ac:dyDescent="0.3">
      <c r="A61" s="78"/>
      <c r="B61" s="187" t="s">
        <v>240</v>
      </c>
      <c r="C61" s="188">
        <v>1</v>
      </c>
      <c r="D61" s="189">
        <v>6000</v>
      </c>
      <c r="E61" s="189">
        <f>C61*D61</f>
        <v>6000</v>
      </c>
      <c r="F61" s="83"/>
    </row>
    <row r="62" spans="1:6" ht="28.5" customHeight="1" thickBot="1" x14ac:dyDescent="0.3">
      <c r="A62" s="101">
        <v>4280</v>
      </c>
      <c r="B62" s="102" t="s">
        <v>36</v>
      </c>
      <c r="C62" s="103">
        <v>1</v>
      </c>
      <c r="D62" s="104">
        <v>2600</v>
      </c>
      <c r="E62" s="104">
        <v>2600</v>
      </c>
      <c r="F62" s="105">
        <f>E62</f>
        <v>2600</v>
      </c>
    </row>
    <row r="63" spans="1:6" x14ac:dyDescent="0.25">
      <c r="A63" s="66">
        <v>4300</v>
      </c>
      <c r="B63" s="84" t="s">
        <v>37</v>
      </c>
      <c r="C63" s="85"/>
      <c r="D63" s="86"/>
      <c r="E63" s="87">
        <f>SUM(E64:E78)</f>
        <v>39181</v>
      </c>
      <c r="F63" s="70">
        <f>E63</f>
        <v>39181</v>
      </c>
    </row>
    <row r="64" spans="1:6" ht="25.5" customHeight="1" x14ac:dyDescent="0.25">
      <c r="A64" s="71"/>
      <c r="B64" s="72" t="s">
        <v>165</v>
      </c>
      <c r="C64" s="73">
        <v>12</v>
      </c>
      <c r="D64" s="74">
        <v>180</v>
      </c>
      <c r="E64" s="74">
        <f>ROUND((C64*D64),0)</f>
        <v>2160</v>
      </c>
      <c r="F64" s="75"/>
    </row>
    <row r="65" spans="1:6" ht="25.5" customHeight="1" x14ac:dyDescent="0.25">
      <c r="A65" s="71"/>
      <c r="B65" s="72" t="s">
        <v>166</v>
      </c>
      <c r="C65" s="73">
        <v>12</v>
      </c>
      <c r="D65" s="74">
        <v>202.71</v>
      </c>
      <c r="E65" s="74">
        <f t="shared" ref="E65:E78" si="5">ROUND((C65*D65),0)</f>
        <v>2433</v>
      </c>
      <c r="F65" s="75"/>
    </row>
    <row r="66" spans="1:6" ht="25.5" customHeight="1" x14ac:dyDescent="0.25">
      <c r="A66" s="71"/>
      <c r="B66" s="72" t="s">
        <v>167</v>
      </c>
      <c r="C66" s="73">
        <v>12</v>
      </c>
      <c r="D66" s="74">
        <v>254</v>
      </c>
      <c r="E66" s="74">
        <f t="shared" si="5"/>
        <v>3048</v>
      </c>
      <c r="F66" s="75"/>
    </row>
    <row r="67" spans="1:6" x14ac:dyDescent="0.25">
      <c r="A67" s="71"/>
      <c r="B67" s="72" t="s">
        <v>168</v>
      </c>
      <c r="C67" s="73">
        <v>12</v>
      </c>
      <c r="D67" s="74">
        <v>320</v>
      </c>
      <c r="E67" s="74">
        <f t="shared" si="5"/>
        <v>3840</v>
      </c>
      <c r="F67" s="75"/>
    </row>
    <row r="68" spans="1:6" x14ac:dyDescent="0.25">
      <c r="A68" s="71"/>
      <c r="B68" s="72" t="s">
        <v>241</v>
      </c>
      <c r="C68" s="73">
        <v>12</v>
      </c>
      <c r="D68" s="74">
        <v>0</v>
      </c>
      <c r="E68" s="74">
        <f t="shared" si="5"/>
        <v>0</v>
      </c>
      <c r="F68" s="75"/>
    </row>
    <row r="69" spans="1:6" x14ac:dyDescent="0.25">
      <c r="A69" s="71"/>
      <c r="B69" s="72" t="s">
        <v>169</v>
      </c>
      <c r="C69" s="73">
        <v>4</v>
      </c>
      <c r="D69" s="74">
        <v>1590</v>
      </c>
      <c r="E69" s="74">
        <f t="shared" si="5"/>
        <v>6360</v>
      </c>
      <c r="F69" s="75"/>
    </row>
    <row r="70" spans="1:6" x14ac:dyDescent="0.25">
      <c r="A70" s="71"/>
      <c r="B70" s="72" t="s">
        <v>305</v>
      </c>
      <c r="C70" s="73">
        <v>1</v>
      </c>
      <c r="D70" s="74">
        <v>400</v>
      </c>
      <c r="E70" s="74">
        <f t="shared" si="5"/>
        <v>400</v>
      </c>
      <c r="F70" s="75"/>
    </row>
    <row r="71" spans="1:6" x14ac:dyDescent="0.25">
      <c r="A71" s="71"/>
      <c r="B71" s="72" t="s">
        <v>303</v>
      </c>
      <c r="C71" s="73">
        <v>1</v>
      </c>
      <c r="D71" s="74">
        <v>5090</v>
      </c>
      <c r="E71" s="74">
        <f t="shared" si="5"/>
        <v>5090</v>
      </c>
      <c r="F71" s="75"/>
    </row>
    <row r="72" spans="1:6" x14ac:dyDescent="0.25">
      <c r="A72" s="71"/>
      <c r="B72" s="72" t="s">
        <v>282</v>
      </c>
      <c r="C72" s="73">
        <v>1</v>
      </c>
      <c r="D72" s="74">
        <v>400</v>
      </c>
      <c r="E72" s="74">
        <f t="shared" si="5"/>
        <v>400</v>
      </c>
      <c r="F72" s="75"/>
    </row>
    <row r="73" spans="1:6" x14ac:dyDescent="0.25">
      <c r="A73" s="71"/>
      <c r="B73" s="72" t="s">
        <v>244</v>
      </c>
      <c r="C73" s="73">
        <v>1</v>
      </c>
      <c r="D73" s="74">
        <v>450</v>
      </c>
      <c r="E73" s="74">
        <f t="shared" si="5"/>
        <v>450</v>
      </c>
      <c r="F73" s="75"/>
    </row>
    <row r="74" spans="1:6" hidden="1" x14ac:dyDescent="0.25">
      <c r="A74" s="71"/>
      <c r="B74" s="72"/>
      <c r="C74" s="73"/>
      <c r="D74" s="74"/>
      <c r="E74" s="74">
        <f t="shared" si="5"/>
        <v>0</v>
      </c>
      <c r="F74" s="75"/>
    </row>
    <row r="75" spans="1:6" hidden="1" x14ac:dyDescent="0.25">
      <c r="A75" s="71"/>
      <c r="B75" s="72"/>
      <c r="C75" s="73"/>
      <c r="D75" s="74"/>
      <c r="E75" s="74">
        <f t="shared" si="5"/>
        <v>0</v>
      </c>
      <c r="F75" s="75"/>
    </row>
    <row r="76" spans="1:6" ht="24" x14ac:dyDescent="0.25">
      <c r="A76" s="71"/>
      <c r="B76" s="72" t="s">
        <v>304</v>
      </c>
      <c r="C76" s="73">
        <v>1</v>
      </c>
      <c r="D76" s="74">
        <v>12000</v>
      </c>
      <c r="E76" s="74">
        <f t="shared" si="5"/>
        <v>12000</v>
      </c>
      <c r="F76" s="75"/>
    </row>
    <row r="77" spans="1:6" x14ac:dyDescent="0.25">
      <c r="A77" s="71"/>
      <c r="B77" s="72"/>
      <c r="C77" s="73"/>
      <c r="D77" s="74"/>
      <c r="E77" s="74">
        <f t="shared" si="5"/>
        <v>0</v>
      </c>
      <c r="F77" s="75"/>
    </row>
    <row r="78" spans="1:6" ht="15.75" thickBot="1" x14ac:dyDescent="0.3">
      <c r="A78" s="78"/>
      <c r="B78" s="72" t="s">
        <v>247</v>
      </c>
      <c r="C78" s="73">
        <v>1</v>
      </c>
      <c r="D78" s="74">
        <v>3000</v>
      </c>
      <c r="E78" s="74">
        <f t="shared" si="5"/>
        <v>3000</v>
      </c>
      <c r="F78" s="83"/>
    </row>
    <row r="79" spans="1:6" ht="36" customHeight="1" thickBot="1" x14ac:dyDescent="0.3">
      <c r="A79" s="101">
        <v>4350</v>
      </c>
      <c r="B79" s="102" t="s">
        <v>170</v>
      </c>
      <c r="C79" s="103">
        <v>0</v>
      </c>
      <c r="D79" s="104">
        <v>0</v>
      </c>
      <c r="E79" s="104">
        <f>C79*D79</f>
        <v>0</v>
      </c>
      <c r="F79" s="105">
        <f t="shared" ref="F79:F85" si="6">E79</f>
        <v>0</v>
      </c>
    </row>
    <row r="80" spans="1:6" ht="26.25" thickBot="1" x14ac:dyDescent="0.3">
      <c r="A80" s="101">
        <v>4360</v>
      </c>
      <c r="B80" s="102" t="s">
        <v>171</v>
      </c>
      <c r="C80" s="103">
        <v>12</v>
      </c>
      <c r="D80" s="104">
        <v>75</v>
      </c>
      <c r="E80" s="104">
        <f>ROUND(C80*D80,0)</f>
        <v>900</v>
      </c>
      <c r="F80" s="105">
        <f t="shared" si="6"/>
        <v>900</v>
      </c>
    </row>
    <row r="81" spans="1:6" ht="39" thickBot="1" x14ac:dyDescent="0.3">
      <c r="A81" s="101">
        <v>4410</v>
      </c>
      <c r="B81" s="102" t="s">
        <v>172</v>
      </c>
      <c r="C81" s="103">
        <v>1</v>
      </c>
      <c r="D81" s="104">
        <v>2000</v>
      </c>
      <c r="E81" s="104">
        <f>C81*D81</f>
        <v>2000</v>
      </c>
      <c r="F81" s="105">
        <f t="shared" si="6"/>
        <v>2000</v>
      </c>
    </row>
    <row r="82" spans="1:6" ht="36" customHeight="1" thickBot="1" x14ac:dyDescent="0.3">
      <c r="A82" s="71">
        <v>4430</v>
      </c>
      <c r="B82" s="112" t="s">
        <v>275</v>
      </c>
      <c r="C82" s="113">
        <v>1</v>
      </c>
      <c r="D82" s="114">
        <v>2706.33</v>
      </c>
      <c r="E82" s="114">
        <f>C82*D82</f>
        <v>2706.33</v>
      </c>
      <c r="F82" s="75">
        <f t="shared" si="6"/>
        <v>2706.33</v>
      </c>
    </row>
    <row r="83" spans="1:6" ht="15.75" thickBot="1" x14ac:dyDescent="0.3">
      <c r="A83" s="101">
        <v>4440</v>
      </c>
      <c r="B83" s="102" t="s">
        <v>173</v>
      </c>
      <c r="C83" s="103">
        <v>1</v>
      </c>
      <c r="D83" s="104">
        <v>185460</v>
      </c>
      <c r="E83" s="104">
        <f>C83*D83</f>
        <v>185460</v>
      </c>
      <c r="F83" s="105">
        <f t="shared" si="6"/>
        <v>185460</v>
      </c>
    </row>
    <row r="84" spans="1:6" ht="39" thickBot="1" x14ac:dyDescent="0.3">
      <c r="A84" s="101">
        <v>4700</v>
      </c>
      <c r="B84" s="115" t="s">
        <v>248</v>
      </c>
      <c r="C84" s="103">
        <v>1</v>
      </c>
      <c r="D84" s="104">
        <v>2000</v>
      </c>
      <c r="E84" s="104">
        <f>C84*D84</f>
        <v>2000</v>
      </c>
      <c r="F84" s="105">
        <f t="shared" si="6"/>
        <v>2000</v>
      </c>
    </row>
    <row r="85" spans="1:6" ht="38.25" x14ac:dyDescent="0.25">
      <c r="A85" s="66">
        <v>4710</v>
      </c>
      <c r="B85" s="84" t="s">
        <v>175</v>
      </c>
      <c r="C85" s="116"/>
      <c r="D85" s="87"/>
      <c r="E85" s="87">
        <f>SUM(E86:E93)</f>
        <v>4776</v>
      </c>
      <c r="F85" s="70">
        <f t="shared" si="6"/>
        <v>4776</v>
      </c>
    </row>
    <row r="86" spans="1:6" x14ac:dyDescent="0.25">
      <c r="A86" s="71"/>
      <c r="B86" s="72" t="s">
        <v>176</v>
      </c>
      <c r="C86" s="73">
        <v>12</v>
      </c>
      <c r="D86" s="74">
        <v>20</v>
      </c>
      <c r="E86" s="117">
        <f>ROUND((C86*D86),0)</f>
        <v>240</v>
      </c>
      <c r="F86" s="75"/>
    </row>
    <row r="87" spans="1:6" ht="64.5" customHeight="1" x14ac:dyDescent="0.25">
      <c r="A87" s="71"/>
      <c r="B87" s="72" t="s">
        <v>177</v>
      </c>
      <c r="C87" s="73">
        <v>12</v>
      </c>
      <c r="D87" s="74">
        <v>91</v>
      </c>
      <c r="E87" s="117">
        <f t="shared" ref="E87:E94" si="7">ROUND((C87*D87),0)</f>
        <v>1092</v>
      </c>
      <c r="F87" s="75"/>
    </row>
    <row r="88" spans="1:6" x14ac:dyDescent="0.25">
      <c r="A88" s="71"/>
      <c r="B88" s="72" t="s">
        <v>249</v>
      </c>
      <c r="C88" s="73">
        <v>1</v>
      </c>
      <c r="D88" s="74">
        <v>90</v>
      </c>
      <c r="E88" s="117">
        <f t="shared" si="7"/>
        <v>90</v>
      </c>
      <c r="F88" s="75"/>
    </row>
    <row r="89" spans="1:6" ht="33" customHeight="1" x14ac:dyDescent="0.25">
      <c r="A89" s="71"/>
      <c r="B89" s="72" t="s">
        <v>178</v>
      </c>
      <c r="C89" s="73">
        <v>12</v>
      </c>
      <c r="D89" s="74">
        <v>231</v>
      </c>
      <c r="E89" s="117">
        <f t="shared" si="7"/>
        <v>2772</v>
      </c>
      <c r="F89" s="75"/>
    </row>
    <row r="90" spans="1:6" ht="33" customHeight="1" x14ac:dyDescent="0.25">
      <c r="A90" s="71"/>
      <c r="B90" s="72" t="s">
        <v>250</v>
      </c>
      <c r="C90" s="73">
        <v>12</v>
      </c>
      <c r="D90" s="74">
        <v>11</v>
      </c>
      <c r="E90" s="117">
        <f t="shared" si="7"/>
        <v>132</v>
      </c>
      <c r="F90" s="75"/>
    </row>
    <row r="91" spans="1:6" ht="33" customHeight="1" x14ac:dyDescent="0.25">
      <c r="A91" s="71"/>
      <c r="B91" s="72" t="s">
        <v>179</v>
      </c>
      <c r="C91" s="73">
        <v>1</v>
      </c>
      <c r="D91" s="74">
        <v>100</v>
      </c>
      <c r="E91" s="117">
        <f t="shared" si="7"/>
        <v>100</v>
      </c>
      <c r="F91" s="75"/>
    </row>
    <row r="92" spans="1:6" ht="33" customHeight="1" x14ac:dyDescent="0.25">
      <c r="A92" s="71"/>
      <c r="B92" s="72" t="s">
        <v>251</v>
      </c>
      <c r="C92" s="73">
        <v>1</v>
      </c>
      <c r="D92" s="74">
        <v>300</v>
      </c>
      <c r="E92" s="117">
        <f t="shared" si="7"/>
        <v>300</v>
      </c>
      <c r="F92" s="75"/>
    </row>
    <row r="93" spans="1:6" ht="33" customHeight="1" thickBot="1" x14ac:dyDescent="0.3">
      <c r="A93" s="78"/>
      <c r="B93" s="72" t="s">
        <v>180</v>
      </c>
      <c r="C93" s="73">
        <v>1</v>
      </c>
      <c r="D93" s="74">
        <v>50</v>
      </c>
      <c r="E93" s="117">
        <f t="shared" si="7"/>
        <v>50</v>
      </c>
      <c r="F93" s="83"/>
    </row>
    <row r="94" spans="1:6" ht="39" thickBot="1" x14ac:dyDescent="0.3">
      <c r="A94" s="101">
        <v>4750</v>
      </c>
      <c r="B94" s="102" t="s">
        <v>181</v>
      </c>
      <c r="C94" s="103">
        <v>0</v>
      </c>
      <c r="D94" s="104">
        <v>0</v>
      </c>
      <c r="E94" s="117">
        <f t="shared" si="7"/>
        <v>0</v>
      </c>
      <c r="F94" s="105">
        <f>E94</f>
        <v>0</v>
      </c>
    </row>
    <row r="95" spans="1:6" ht="24" customHeight="1" x14ac:dyDescent="0.25">
      <c r="A95" s="66">
        <v>4790</v>
      </c>
      <c r="B95" s="118" t="s">
        <v>39</v>
      </c>
      <c r="C95" s="58"/>
      <c r="D95" s="59"/>
      <c r="E95" s="59">
        <f>SUM(E96:E103)</f>
        <v>2523978</v>
      </c>
      <c r="F95" s="70">
        <f>E95</f>
        <v>2523978</v>
      </c>
    </row>
    <row r="96" spans="1:6" x14ac:dyDescent="0.25">
      <c r="A96" s="71"/>
      <c r="B96" s="119" t="s">
        <v>182</v>
      </c>
      <c r="C96" s="73">
        <v>12</v>
      </c>
      <c r="D96" s="74">
        <v>174350</v>
      </c>
      <c r="E96" s="74">
        <f>C96*D96</f>
        <v>2092200</v>
      </c>
      <c r="F96" s="75"/>
    </row>
    <row r="97" spans="1:6" ht="24" customHeight="1" x14ac:dyDescent="0.25">
      <c r="A97" s="71"/>
      <c r="B97" s="119" t="s">
        <v>183</v>
      </c>
      <c r="C97" s="88">
        <v>0.01</v>
      </c>
      <c r="D97" s="76">
        <f>(E96+E98+E102+E103)</f>
        <v>2427800</v>
      </c>
      <c r="E97" s="74">
        <f>ROUND(C97*D97,0)</f>
        <v>24278</v>
      </c>
      <c r="F97" s="75"/>
    </row>
    <row r="98" spans="1:6" ht="24" customHeight="1" x14ac:dyDescent="0.25">
      <c r="A98" s="71"/>
      <c r="B98" s="120" t="s">
        <v>184</v>
      </c>
      <c r="C98" s="73">
        <v>12</v>
      </c>
      <c r="D98" s="74">
        <v>10000</v>
      </c>
      <c r="E98" s="74">
        <f t="shared" ref="E98:E106" si="8">C98*D98</f>
        <v>120000</v>
      </c>
      <c r="F98" s="75"/>
    </row>
    <row r="99" spans="1:6" x14ac:dyDescent="0.25">
      <c r="A99" s="71"/>
      <c r="B99" s="108"/>
      <c r="C99" s="73"/>
      <c r="D99" s="74"/>
      <c r="E99" s="74">
        <f>ROUND(C99*D99,0)</f>
        <v>0</v>
      </c>
      <c r="F99" s="75"/>
    </row>
    <row r="100" spans="1:6" x14ac:dyDescent="0.25">
      <c r="A100" s="71"/>
      <c r="B100" s="72"/>
      <c r="C100" s="73"/>
      <c r="D100" s="74"/>
      <c r="E100" s="74">
        <f t="shared" si="8"/>
        <v>0</v>
      </c>
      <c r="F100" s="75"/>
    </row>
    <row r="101" spans="1:6" x14ac:dyDescent="0.25">
      <c r="A101" s="71"/>
      <c r="B101" s="72" t="s">
        <v>185</v>
      </c>
      <c r="C101" s="73">
        <v>1</v>
      </c>
      <c r="D101" s="74">
        <v>71900</v>
      </c>
      <c r="E101" s="74">
        <f t="shared" si="8"/>
        <v>71900</v>
      </c>
      <c r="F101" s="75"/>
    </row>
    <row r="102" spans="1:6" ht="51.75" customHeight="1" x14ac:dyDescent="0.25">
      <c r="A102" s="71"/>
      <c r="B102" s="121" t="s">
        <v>202</v>
      </c>
      <c r="C102" s="73">
        <v>1</v>
      </c>
      <c r="D102" s="74">
        <v>89430</v>
      </c>
      <c r="E102" s="74">
        <f>C102*D102</f>
        <v>89430</v>
      </c>
      <c r="F102" s="75"/>
    </row>
    <row r="103" spans="1:6" ht="15.75" thickBot="1" x14ac:dyDescent="0.3">
      <c r="A103" s="78"/>
      <c r="B103" s="121" t="s">
        <v>143</v>
      </c>
      <c r="C103" s="73">
        <v>1</v>
      </c>
      <c r="D103" s="74">
        <v>126170</v>
      </c>
      <c r="E103" s="74">
        <f t="shared" si="8"/>
        <v>126170</v>
      </c>
      <c r="F103" s="83"/>
    </row>
    <row r="104" spans="1:6" ht="26.25" thickBot="1" x14ac:dyDescent="0.3">
      <c r="A104" s="101">
        <v>4800</v>
      </c>
      <c r="B104" s="115" t="s">
        <v>101</v>
      </c>
      <c r="C104" s="103">
        <v>1</v>
      </c>
      <c r="D104" s="104">
        <v>171509</v>
      </c>
      <c r="E104" s="104">
        <f>C104*D104</f>
        <v>171509</v>
      </c>
      <c r="F104" s="105">
        <f>E104</f>
        <v>171509</v>
      </c>
    </row>
    <row r="105" spans="1:6" ht="39" thickBot="1" x14ac:dyDescent="0.3">
      <c r="A105" s="101">
        <v>4850</v>
      </c>
      <c r="B105" s="115" t="s">
        <v>186</v>
      </c>
      <c r="C105" s="103">
        <v>0</v>
      </c>
      <c r="D105" s="104">
        <v>0</v>
      </c>
      <c r="E105" s="104">
        <f t="shared" si="8"/>
        <v>0</v>
      </c>
      <c r="F105" s="105">
        <f>E105</f>
        <v>0</v>
      </c>
    </row>
    <row r="106" spans="1:6" ht="26.25" thickBot="1" x14ac:dyDescent="0.3">
      <c r="A106" s="78">
        <v>4860</v>
      </c>
      <c r="B106" s="122" t="s">
        <v>187</v>
      </c>
      <c r="C106" s="123">
        <v>0</v>
      </c>
      <c r="D106" s="124">
        <v>0</v>
      </c>
      <c r="E106" s="124">
        <f t="shared" si="8"/>
        <v>0</v>
      </c>
      <c r="F106" s="83">
        <f>E106</f>
        <v>0</v>
      </c>
    </row>
    <row r="107" spans="1:6" x14ac:dyDescent="0.25">
      <c r="A107" s="125"/>
      <c r="B107" s="126"/>
      <c r="C107" s="127"/>
      <c r="D107" s="128"/>
      <c r="E107" s="129"/>
      <c r="F107" s="130"/>
    </row>
    <row r="108" spans="1:6" ht="15.75" thickBot="1" x14ac:dyDescent="0.3">
      <c r="A108" s="173">
        <v>801</v>
      </c>
      <c r="B108" s="174" t="s">
        <v>252</v>
      </c>
      <c r="C108" s="191"/>
      <c r="D108" s="192"/>
      <c r="E108" s="176">
        <f>E109+E113+E120+E131+E141+E142+E145+E147+E148+E151+E152+E159+E168+E121</f>
        <v>0</v>
      </c>
      <c r="F108" s="177">
        <f>SUM(F109:F168)</f>
        <v>0</v>
      </c>
    </row>
    <row r="109" spans="1:6" ht="24" customHeight="1" x14ac:dyDescent="0.25">
      <c r="A109" s="66">
        <v>3020</v>
      </c>
      <c r="B109" s="67" t="s">
        <v>253</v>
      </c>
      <c r="C109" s="194"/>
      <c r="D109" s="195"/>
      <c r="E109" s="59">
        <f>SUM(E110:E112)</f>
        <v>0</v>
      </c>
      <c r="F109" s="70">
        <f>E109</f>
        <v>0</v>
      </c>
    </row>
    <row r="110" spans="1:6" x14ac:dyDescent="0.25">
      <c r="A110" s="71"/>
      <c r="B110" s="72" t="s">
        <v>134</v>
      </c>
      <c r="C110" s="196"/>
      <c r="D110" s="197"/>
      <c r="E110" s="74">
        <f>C110*D110</f>
        <v>0</v>
      </c>
      <c r="F110" s="75"/>
    </row>
    <row r="111" spans="1:6" x14ac:dyDescent="0.25">
      <c r="A111" s="71"/>
      <c r="B111" s="77"/>
      <c r="C111" s="196"/>
      <c r="D111" s="197"/>
      <c r="E111" s="74">
        <f>ROUND(C111*D111,0)</f>
        <v>0</v>
      </c>
      <c r="F111" s="75"/>
    </row>
    <row r="112" spans="1:6" ht="15.75" thickBot="1" x14ac:dyDescent="0.3">
      <c r="A112" s="78"/>
      <c r="B112" s="79"/>
      <c r="C112" s="201"/>
      <c r="D112" s="202"/>
      <c r="E112" s="82">
        <f>C112*D112</f>
        <v>0</v>
      </c>
      <c r="F112" s="83"/>
    </row>
    <row r="113" spans="1:6" ht="64.5" customHeight="1" x14ac:dyDescent="0.25">
      <c r="A113" s="66">
        <v>4010</v>
      </c>
      <c r="B113" s="67" t="s">
        <v>254</v>
      </c>
      <c r="C113" s="203"/>
      <c r="D113" s="204"/>
      <c r="E113" s="59">
        <f>SUM(E114:E119)</f>
        <v>0</v>
      </c>
      <c r="F113" s="70">
        <f>E113</f>
        <v>0</v>
      </c>
    </row>
    <row r="114" spans="1:6" ht="18.75" customHeight="1" x14ac:dyDescent="0.25">
      <c r="A114" s="71"/>
      <c r="B114" s="72" t="s">
        <v>138</v>
      </c>
      <c r="C114" s="196"/>
      <c r="D114" s="197"/>
      <c r="E114" s="117">
        <f>ROUND((C114*D114),0)</f>
        <v>0</v>
      </c>
      <c r="F114" s="75"/>
    </row>
    <row r="115" spans="1:6" ht="24" x14ac:dyDescent="0.25">
      <c r="A115" s="71"/>
      <c r="B115" s="72" t="s">
        <v>139</v>
      </c>
      <c r="C115" s="208">
        <v>0</v>
      </c>
      <c r="D115" s="209">
        <f>E114+E118+E119</f>
        <v>0</v>
      </c>
      <c r="E115" s="117">
        <f>ROUND(C115*D115,0)</f>
        <v>0</v>
      </c>
      <c r="F115" s="75"/>
    </row>
    <row r="116" spans="1:6" ht="0.75" customHeight="1" x14ac:dyDescent="0.25">
      <c r="A116" s="71"/>
      <c r="B116" s="72"/>
      <c r="C116" s="196"/>
      <c r="D116" s="197"/>
      <c r="E116" s="117">
        <f>ROUND((C116*D116),0)</f>
        <v>0</v>
      </c>
      <c r="F116" s="75"/>
    </row>
    <row r="117" spans="1:6" ht="25.5" hidden="1" customHeight="1" x14ac:dyDescent="0.25">
      <c r="A117" s="71"/>
      <c r="B117" s="72"/>
      <c r="C117" s="196"/>
      <c r="D117" s="197"/>
      <c r="E117" s="117">
        <f>ROUND((C117*D117),0)</f>
        <v>0</v>
      </c>
      <c r="F117" s="75"/>
    </row>
    <row r="118" spans="1:6" x14ac:dyDescent="0.25">
      <c r="A118" s="71"/>
      <c r="B118" s="72" t="s">
        <v>142</v>
      </c>
      <c r="C118" s="196"/>
      <c r="D118" s="197"/>
      <c r="E118" s="117">
        <f>ROUND((C118*D118),0)</f>
        <v>0</v>
      </c>
      <c r="F118" s="75"/>
    </row>
    <row r="119" spans="1:6" ht="15.75" thickBot="1" x14ac:dyDescent="0.3">
      <c r="A119" s="78"/>
      <c r="B119" s="90" t="s">
        <v>143</v>
      </c>
      <c r="C119" s="201"/>
      <c r="D119" s="202">
        <v>0</v>
      </c>
      <c r="E119" s="210">
        <f>ROUND((C119*D119),)</f>
        <v>0</v>
      </c>
      <c r="F119" s="83"/>
    </row>
    <row r="120" spans="1:6" ht="26.25" thickBot="1" x14ac:dyDescent="0.3">
      <c r="A120" s="71">
        <v>4040</v>
      </c>
      <c r="B120" s="112" t="s">
        <v>144</v>
      </c>
      <c r="C120" s="211">
        <v>1</v>
      </c>
      <c r="D120" s="212"/>
      <c r="E120" s="114">
        <f>C120*D120</f>
        <v>0</v>
      </c>
      <c r="F120" s="75">
        <f>E120</f>
        <v>0</v>
      </c>
    </row>
    <row r="121" spans="1:6" x14ac:dyDescent="0.25">
      <c r="A121" s="66">
        <v>4110</v>
      </c>
      <c r="B121" s="67" t="s">
        <v>124</v>
      </c>
      <c r="C121" s="203"/>
      <c r="D121" s="204"/>
      <c r="E121" s="59">
        <f>SUM(E122:E130)</f>
        <v>0</v>
      </c>
      <c r="F121" s="70">
        <f>E121</f>
        <v>0</v>
      </c>
    </row>
    <row r="122" spans="1:6" x14ac:dyDescent="0.25">
      <c r="A122" s="71"/>
      <c r="B122" s="72" t="s">
        <v>145</v>
      </c>
      <c r="C122" s="196">
        <v>12</v>
      </c>
      <c r="D122" s="209"/>
      <c r="E122" s="74">
        <f t="shared" ref="E122:E130" si="9">ROUND(C122*D122,0)</f>
        <v>0</v>
      </c>
      <c r="F122" s="75"/>
    </row>
    <row r="123" spans="1:6" x14ac:dyDescent="0.25">
      <c r="A123" s="71"/>
      <c r="B123" s="72" t="s">
        <v>146</v>
      </c>
      <c r="C123" s="196">
        <v>12</v>
      </c>
      <c r="D123" s="209"/>
      <c r="E123" s="74">
        <f t="shared" si="9"/>
        <v>0</v>
      </c>
      <c r="F123" s="75"/>
    </row>
    <row r="124" spans="1:6" x14ac:dyDescent="0.25">
      <c r="A124" s="71"/>
      <c r="B124" s="72" t="s">
        <v>147</v>
      </c>
      <c r="C124" s="196">
        <v>12</v>
      </c>
      <c r="D124" s="209"/>
      <c r="E124" s="74">
        <f t="shared" si="9"/>
        <v>0</v>
      </c>
      <c r="F124" s="75"/>
    </row>
    <row r="125" spans="1:6" x14ac:dyDescent="0.25">
      <c r="A125" s="71"/>
      <c r="B125" s="72" t="s">
        <v>148</v>
      </c>
      <c r="C125" s="196">
        <v>12</v>
      </c>
      <c r="D125" s="209"/>
      <c r="E125" s="74">
        <f t="shared" si="9"/>
        <v>0</v>
      </c>
      <c r="F125" s="75"/>
    </row>
    <row r="126" spans="1:6" x14ac:dyDescent="0.25">
      <c r="A126" s="71"/>
      <c r="B126" s="72" t="s">
        <v>255</v>
      </c>
      <c r="C126" s="196">
        <v>1</v>
      </c>
      <c r="D126" s="209"/>
      <c r="E126" s="74">
        <f t="shared" si="9"/>
        <v>0</v>
      </c>
      <c r="F126" s="75"/>
    </row>
    <row r="127" spans="1:6" x14ac:dyDescent="0.25">
      <c r="A127" s="71"/>
      <c r="B127" s="72"/>
      <c r="C127" s="196"/>
      <c r="D127" s="197"/>
      <c r="E127" s="74">
        <f t="shared" si="9"/>
        <v>0</v>
      </c>
      <c r="F127" s="75"/>
    </row>
    <row r="128" spans="1:6" x14ac:dyDescent="0.25">
      <c r="A128" s="71"/>
      <c r="B128" s="72" t="s">
        <v>150</v>
      </c>
      <c r="C128" s="196">
        <v>10</v>
      </c>
      <c r="D128" s="214">
        <f>D141*H3</f>
        <v>0</v>
      </c>
      <c r="E128" s="74">
        <f t="shared" si="9"/>
        <v>0</v>
      </c>
      <c r="F128" s="75"/>
    </row>
    <row r="129" spans="1:6" ht="24" x14ac:dyDescent="0.25">
      <c r="A129" s="71"/>
      <c r="B129" s="72" t="s">
        <v>227</v>
      </c>
      <c r="C129" s="196">
        <v>1</v>
      </c>
      <c r="D129" s="214"/>
      <c r="E129" s="109">
        <f t="shared" si="9"/>
        <v>0</v>
      </c>
      <c r="F129" s="75"/>
    </row>
    <row r="130" spans="1:6" ht="24.75" thickBot="1" x14ac:dyDescent="0.3">
      <c r="A130" s="78"/>
      <c r="B130" s="90" t="s">
        <v>151</v>
      </c>
      <c r="C130" s="201">
        <v>1</v>
      </c>
      <c r="D130" s="215"/>
      <c r="E130" s="82">
        <f t="shared" si="9"/>
        <v>0</v>
      </c>
      <c r="F130" s="83"/>
    </row>
    <row r="131" spans="1:6" x14ac:dyDescent="0.25">
      <c r="A131" s="66">
        <v>4120</v>
      </c>
      <c r="B131" s="67" t="s">
        <v>152</v>
      </c>
      <c r="C131" s="203"/>
      <c r="D131" s="204"/>
      <c r="E131" s="59">
        <f>SUM(E132:E140)</f>
        <v>0</v>
      </c>
      <c r="F131" s="70">
        <f>E131</f>
        <v>0</v>
      </c>
    </row>
    <row r="132" spans="1:6" x14ac:dyDescent="0.25">
      <c r="A132" s="71"/>
      <c r="B132" s="72" t="s">
        <v>153</v>
      </c>
      <c r="C132" s="196">
        <v>12</v>
      </c>
      <c r="D132" s="209"/>
      <c r="E132" s="74">
        <f t="shared" ref="E132:E140" si="10">ROUND(C132*D132,0)</f>
        <v>0</v>
      </c>
      <c r="F132" s="75"/>
    </row>
    <row r="133" spans="1:6" x14ac:dyDescent="0.25">
      <c r="A133" s="71"/>
      <c r="B133" s="72" t="s">
        <v>154</v>
      </c>
      <c r="C133" s="196">
        <v>12</v>
      </c>
      <c r="D133" s="209"/>
      <c r="E133" s="74">
        <f t="shared" si="10"/>
        <v>0</v>
      </c>
      <c r="F133" s="75"/>
    </row>
    <row r="134" spans="1:6" x14ac:dyDescent="0.25">
      <c r="A134" s="71"/>
      <c r="B134" s="72" t="s">
        <v>155</v>
      </c>
      <c r="C134" s="196">
        <v>12</v>
      </c>
      <c r="D134" s="209"/>
      <c r="E134" s="74">
        <f t="shared" si="10"/>
        <v>0</v>
      </c>
      <c r="F134" s="75"/>
    </row>
    <row r="135" spans="1:6" x14ac:dyDescent="0.25">
      <c r="A135" s="71"/>
      <c r="B135" s="72" t="s">
        <v>156</v>
      </c>
      <c r="C135" s="196">
        <v>12</v>
      </c>
      <c r="D135" s="209"/>
      <c r="E135" s="74">
        <f t="shared" si="10"/>
        <v>0</v>
      </c>
      <c r="F135" s="75"/>
    </row>
    <row r="136" spans="1:6" ht="24" customHeight="1" x14ac:dyDescent="0.25">
      <c r="A136" s="71"/>
      <c r="B136" s="72" t="s">
        <v>256</v>
      </c>
      <c r="C136" s="196">
        <v>1</v>
      </c>
      <c r="D136" s="209"/>
      <c r="E136" s="74">
        <f t="shared" si="10"/>
        <v>0</v>
      </c>
      <c r="F136" s="75"/>
    </row>
    <row r="137" spans="1:6" x14ac:dyDescent="0.25">
      <c r="A137" s="71"/>
      <c r="B137" s="72"/>
      <c r="C137" s="196"/>
      <c r="D137" s="197"/>
      <c r="E137" s="74">
        <f t="shared" si="10"/>
        <v>0</v>
      </c>
      <c r="F137" s="75"/>
    </row>
    <row r="138" spans="1:6" x14ac:dyDescent="0.25">
      <c r="A138" s="71"/>
      <c r="B138" s="108" t="s">
        <v>157</v>
      </c>
      <c r="C138" s="216">
        <v>10</v>
      </c>
      <c r="D138" s="217">
        <f>D141*H3</f>
        <v>0</v>
      </c>
      <c r="E138" s="109">
        <f>ROUND(C138*D138,0)</f>
        <v>0</v>
      </c>
      <c r="F138" s="75"/>
    </row>
    <row r="139" spans="1:6" ht="24" x14ac:dyDescent="0.25">
      <c r="A139" s="71"/>
      <c r="B139" s="72" t="s">
        <v>228</v>
      </c>
      <c r="C139" s="196">
        <v>1</v>
      </c>
      <c r="D139" s="214"/>
      <c r="E139" s="74">
        <f>ROUND(C139*D139,0)</f>
        <v>0</v>
      </c>
      <c r="F139" s="75"/>
    </row>
    <row r="140" spans="1:6" ht="24.75" thickBot="1" x14ac:dyDescent="0.3">
      <c r="A140" s="78"/>
      <c r="B140" s="90" t="s">
        <v>158</v>
      </c>
      <c r="C140" s="201">
        <v>1</v>
      </c>
      <c r="D140" s="219"/>
      <c r="E140" s="81">
        <f t="shared" si="10"/>
        <v>0</v>
      </c>
      <c r="F140" s="83"/>
    </row>
    <row r="141" spans="1:6" ht="15" customHeight="1" thickBot="1" x14ac:dyDescent="0.3">
      <c r="A141" s="101">
        <v>4170</v>
      </c>
      <c r="B141" s="102" t="s">
        <v>159</v>
      </c>
      <c r="C141" s="220">
        <v>0</v>
      </c>
      <c r="D141" s="221">
        <v>0</v>
      </c>
      <c r="E141" s="104">
        <f>C141*D141</f>
        <v>0</v>
      </c>
      <c r="F141" s="105">
        <f>E141</f>
        <v>0</v>
      </c>
    </row>
    <row r="142" spans="1:6" x14ac:dyDescent="0.25">
      <c r="A142" s="222">
        <v>4210</v>
      </c>
      <c r="B142" s="223" t="s">
        <v>160</v>
      </c>
      <c r="C142" s="224"/>
      <c r="D142" s="225"/>
      <c r="E142" s="226">
        <f>SUM(E143:E144)</f>
        <v>0</v>
      </c>
      <c r="F142" s="284">
        <f>E142</f>
        <v>0</v>
      </c>
    </row>
    <row r="143" spans="1:6" ht="36" x14ac:dyDescent="0.25">
      <c r="A143" s="227"/>
      <c r="B143" s="106" t="s">
        <v>257</v>
      </c>
      <c r="C143" s="228">
        <v>1</v>
      </c>
      <c r="D143" s="229"/>
      <c r="E143" s="230">
        <f>C143*D143</f>
        <v>0</v>
      </c>
      <c r="F143" s="285"/>
    </row>
    <row r="144" spans="1:6" ht="15.75" thickBot="1" x14ac:dyDescent="0.3">
      <c r="A144" s="231"/>
      <c r="B144" s="232"/>
      <c r="C144" s="233"/>
      <c r="D144" s="234"/>
      <c r="E144" s="230">
        <f>C144*D144</f>
        <v>0</v>
      </c>
      <c r="F144" s="286"/>
    </row>
    <row r="145" spans="1:6" x14ac:dyDescent="0.25">
      <c r="A145" s="66">
        <v>4270</v>
      </c>
      <c r="B145" s="93" t="s">
        <v>258</v>
      </c>
      <c r="C145" s="194"/>
      <c r="D145" s="195"/>
      <c r="E145" s="69">
        <f>SUM(E146:E146)</f>
        <v>0</v>
      </c>
      <c r="F145" s="70">
        <f>E145</f>
        <v>0</v>
      </c>
    </row>
    <row r="146" spans="1:6" ht="15.75" thickBot="1" x14ac:dyDescent="0.3">
      <c r="A146" s="78"/>
      <c r="B146" s="79" t="s">
        <v>259</v>
      </c>
      <c r="C146" s="235">
        <v>1</v>
      </c>
      <c r="D146" s="236"/>
      <c r="E146" s="82">
        <f>C146*D146</f>
        <v>0</v>
      </c>
      <c r="F146" s="83"/>
    </row>
    <row r="147" spans="1:6" ht="15.75" thickBot="1" x14ac:dyDescent="0.3">
      <c r="A147" s="66">
        <v>4280</v>
      </c>
      <c r="B147" s="93" t="s">
        <v>36</v>
      </c>
      <c r="C147" s="194">
        <v>1</v>
      </c>
      <c r="D147" s="195"/>
      <c r="E147" s="69">
        <f>C147*D147</f>
        <v>0</v>
      </c>
      <c r="F147" s="70">
        <f>E147</f>
        <v>0</v>
      </c>
    </row>
    <row r="148" spans="1:6" x14ac:dyDescent="0.25">
      <c r="A148" s="66">
        <v>4300</v>
      </c>
      <c r="B148" s="93" t="s">
        <v>37</v>
      </c>
      <c r="C148" s="194"/>
      <c r="D148" s="195"/>
      <c r="E148" s="69">
        <f>SUM(E149:E150)</f>
        <v>0</v>
      </c>
      <c r="F148" s="70">
        <f>E148</f>
        <v>0</v>
      </c>
    </row>
    <row r="149" spans="1:6" ht="26.25" customHeight="1" x14ac:dyDescent="0.25">
      <c r="A149" s="71"/>
      <c r="B149" s="183"/>
      <c r="C149" s="237"/>
      <c r="D149" s="238"/>
      <c r="E149" s="74">
        <f>C149*D149</f>
        <v>0</v>
      </c>
      <c r="F149" s="75"/>
    </row>
    <row r="150" spans="1:6" ht="15.75" thickBot="1" x14ac:dyDescent="0.3">
      <c r="A150" s="78"/>
      <c r="B150" s="79" t="s">
        <v>260</v>
      </c>
      <c r="C150" s="235">
        <v>12</v>
      </c>
      <c r="D150" s="236"/>
      <c r="E150" s="81">
        <f>C150*D150</f>
        <v>0</v>
      </c>
      <c r="F150" s="83"/>
    </row>
    <row r="151" spans="1:6" ht="15.75" thickBot="1" x14ac:dyDescent="0.3">
      <c r="A151" s="218">
        <v>4440</v>
      </c>
      <c r="B151" s="239" t="s">
        <v>173</v>
      </c>
      <c r="C151" s="211">
        <v>1</v>
      </c>
      <c r="D151" s="240"/>
      <c r="E151" s="114">
        <f>D151*C151</f>
        <v>0</v>
      </c>
      <c r="F151" s="75">
        <f>E151</f>
        <v>0</v>
      </c>
    </row>
    <row r="152" spans="1:6" ht="25.5" x14ac:dyDescent="0.25">
      <c r="A152" s="66">
        <v>4710</v>
      </c>
      <c r="B152" s="223" t="s">
        <v>38</v>
      </c>
      <c r="C152" s="194"/>
      <c r="D152" s="195"/>
      <c r="E152" s="69">
        <f>SUM(E153:E158)</f>
        <v>0</v>
      </c>
      <c r="F152" s="70">
        <f>E152</f>
        <v>0</v>
      </c>
    </row>
    <row r="153" spans="1:6" x14ac:dyDescent="0.25">
      <c r="A153" s="71"/>
      <c r="B153" s="106" t="s">
        <v>261</v>
      </c>
      <c r="C153" s="196">
        <v>12</v>
      </c>
      <c r="D153" s="197"/>
      <c r="E153" s="185">
        <f t="shared" ref="E153:E158" si="11">C153*D153</f>
        <v>0</v>
      </c>
      <c r="F153" s="75"/>
    </row>
    <row r="154" spans="1:6" x14ac:dyDescent="0.25">
      <c r="A154" s="71"/>
      <c r="B154" s="106" t="s">
        <v>262</v>
      </c>
      <c r="C154" s="196">
        <v>12</v>
      </c>
      <c r="D154" s="197"/>
      <c r="E154" s="185">
        <f t="shared" si="11"/>
        <v>0</v>
      </c>
      <c r="F154" s="75"/>
    </row>
    <row r="155" spans="1:6" x14ac:dyDescent="0.25">
      <c r="A155" s="71"/>
      <c r="B155" s="106" t="s">
        <v>263</v>
      </c>
      <c r="C155" s="196">
        <v>12</v>
      </c>
      <c r="D155" s="197"/>
      <c r="E155" s="185">
        <f t="shared" si="11"/>
        <v>0</v>
      </c>
      <c r="F155" s="75"/>
    </row>
    <row r="156" spans="1:6" x14ac:dyDescent="0.25">
      <c r="A156" s="71"/>
      <c r="B156" s="106" t="s">
        <v>264</v>
      </c>
      <c r="C156" s="196">
        <v>1</v>
      </c>
      <c r="D156" s="197"/>
      <c r="E156" s="185">
        <f t="shared" si="11"/>
        <v>0</v>
      </c>
      <c r="F156" s="75"/>
    </row>
    <row r="157" spans="1:6" x14ac:dyDescent="0.25">
      <c r="A157" s="71"/>
      <c r="B157" s="106" t="s">
        <v>265</v>
      </c>
      <c r="C157" s="196">
        <v>1</v>
      </c>
      <c r="D157" s="197"/>
      <c r="E157" s="185">
        <f t="shared" si="11"/>
        <v>0</v>
      </c>
      <c r="F157" s="75"/>
    </row>
    <row r="158" spans="1:6" ht="24.75" thickBot="1" x14ac:dyDescent="0.3">
      <c r="A158" s="78"/>
      <c r="B158" s="241" t="s">
        <v>266</v>
      </c>
      <c r="C158" s="201">
        <v>1</v>
      </c>
      <c r="D158" s="202"/>
      <c r="E158" s="111">
        <f t="shared" si="11"/>
        <v>0</v>
      </c>
      <c r="F158" s="83"/>
    </row>
    <row r="159" spans="1:6" x14ac:dyDescent="0.25">
      <c r="A159" s="66">
        <v>4790</v>
      </c>
      <c r="B159" s="118" t="s">
        <v>39</v>
      </c>
      <c r="C159" s="203"/>
      <c r="D159" s="204"/>
      <c r="E159" s="59">
        <f>SUM(E160:E167)</f>
        <v>0</v>
      </c>
      <c r="F159" s="70">
        <f>E159</f>
        <v>0</v>
      </c>
    </row>
    <row r="160" spans="1:6" ht="38.25" customHeight="1" x14ac:dyDescent="0.25">
      <c r="A160" s="71"/>
      <c r="B160" s="119" t="s">
        <v>182</v>
      </c>
      <c r="C160" s="196">
        <v>12</v>
      </c>
      <c r="D160" s="197"/>
      <c r="E160" s="117">
        <f>C160*D160</f>
        <v>0</v>
      </c>
      <c r="F160" s="75"/>
    </row>
    <row r="161" spans="1:6" x14ac:dyDescent="0.25">
      <c r="A161" s="71"/>
      <c r="B161" s="119" t="s">
        <v>221</v>
      </c>
      <c r="C161" s="208">
        <v>0.01</v>
      </c>
      <c r="D161" s="209">
        <f>E160+E162+E166+E167</f>
        <v>0</v>
      </c>
      <c r="E161" s="117">
        <f>ROUND(C161*D161,0)</f>
        <v>0</v>
      </c>
      <c r="F161" s="75"/>
    </row>
    <row r="162" spans="1:6" x14ac:dyDescent="0.25">
      <c r="A162" s="71"/>
      <c r="B162" s="119" t="s">
        <v>184</v>
      </c>
      <c r="C162" s="196">
        <v>12</v>
      </c>
      <c r="D162" s="197"/>
      <c r="E162" s="117">
        <f>C162*D162</f>
        <v>0</v>
      </c>
      <c r="F162" s="75"/>
    </row>
    <row r="163" spans="1:6" x14ac:dyDescent="0.25">
      <c r="A163" s="71"/>
      <c r="B163" s="72"/>
      <c r="C163" s="196"/>
      <c r="D163" s="197"/>
      <c r="E163" s="117">
        <f>ROUND(C163*D163,0)</f>
        <v>0</v>
      </c>
      <c r="F163" s="75"/>
    </row>
    <row r="164" spans="1:6" x14ac:dyDescent="0.25">
      <c r="A164" s="71"/>
      <c r="B164" s="72"/>
      <c r="C164" s="196"/>
      <c r="D164" s="197"/>
      <c r="E164" s="117">
        <f>ROUND(C164*D164,0)</f>
        <v>0</v>
      </c>
      <c r="F164" s="75"/>
    </row>
    <row r="165" spans="1:6" x14ac:dyDescent="0.25">
      <c r="A165" s="71"/>
      <c r="B165" s="72" t="s">
        <v>267</v>
      </c>
      <c r="C165" s="196">
        <v>1</v>
      </c>
      <c r="D165" s="197"/>
      <c r="E165" s="117">
        <f>ROUND(C165*D165,0)</f>
        <v>0</v>
      </c>
      <c r="F165" s="75"/>
    </row>
    <row r="166" spans="1:6" x14ac:dyDescent="0.25">
      <c r="A166" s="71"/>
      <c r="B166" s="119" t="s">
        <v>202</v>
      </c>
      <c r="C166" s="196">
        <v>1</v>
      </c>
      <c r="D166" s="197"/>
      <c r="E166" s="117">
        <f>ROUND(C166*D166,0)</f>
        <v>0</v>
      </c>
      <c r="F166" s="75"/>
    </row>
    <row r="167" spans="1:6" ht="15.75" thickBot="1" x14ac:dyDescent="0.3">
      <c r="A167" s="78"/>
      <c r="B167" s="242" t="s">
        <v>209</v>
      </c>
      <c r="C167" s="235">
        <v>1</v>
      </c>
      <c r="D167" s="236"/>
      <c r="E167" s="210">
        <f>C167*D167</f>
        <v>0</v>
      </c>
      <c r="F167" s="83"/>
    </row>
    <row r="168" spans="1:6" ht="26.25" thickBot="1" x14ac:dyDescent="0.3">
      <c r="A168" s="101">
        <v>4800</v>
      </c>
      <c r="B168" s="115" t="s">
        <v>101</v>
      </c>
      <c r="C168" s="220">
        <v>1</v>
      </c>
      <c r="D168" s="221"/>
      <c r="E168" s="104">
        <f>C168*D168</f>
        <v>0</v>
      </c>
      <c r="F168" s="105">
        <f>E168</f>
        <v>0</v>
      </c>
    </row>
    <row r="169" spans="1:6" x14ac:dyDescent="0.25">
      <c r="A169" s="278"/>
      <c r="B169" s="279"/>
      <c r="C169" s="279"/>
      <c r="D169" s="279"/>
      <c r="E169" s="279"/>
      <c r="F169" s="280"/>
    </row>
    <row r="170" spans="1:6" x14ac:dyDescent="0.25">
      <c r="A170" s="243">
        <v>801</v>
      </c>
      <c r="B170" s="244" t="s">
        <v>188</v>
      </c>
      <c r="C170" s="245"/>
      <c r="D170" s="246"/>
      <c r="E170" s="246">
        <f>SUM(E172+E176+E184+E192+E193+E202)</f>
        <v>412325</v>
      </c>
      <c r="F170" s="247">
        <f>SUM(F172:F202)</f>
        <v>412325</v>
      </c>
    </row>
    <row r="171" spans="1:6" ht="15.75" thickBot="1" x14ac:dyDescent="0.3">
      <c r="A171" s="281"/>
      <c r="B171" s="282"/>
      <c r="C171" s="282"/>
      <c r="D171" s="282"/>
      <c r="E171" s="282"/>
      <c r="F171" s="283"/>
    </row>
    <row r="172" spans="1:6" x14ac:dyDescent="0.25">
      <c r="A172" s="273">
        <v>3020</v>
      </c>
      <c r="B172" s="118" t="s">
        <v>189</v>
      </c>
      <c r="C172" s="131"/>
      <c r="D172" s="132"/>
      <c r="E172" s="132">
        <f>SUM(E173:E175)</f>
        <v>16397</v>
      </c>
      <c r="F172" s="275">
        <f>E172</f>
        <v>16397</v>
      </c>
    </row>
    <row r="173" spans="1:6" x14ac:dyDescent="0.25">
      <c r="A173" s="133"/>
      <c r="B173" s="72" t="s">
        <v>190</v>
      </c>
      <c r="C173" s="89">
        <v>12</v>
      </c>
      <c r="D173" s="134">
        <v>1366.4</v>
      </c>
      <c r="E173" s="134">
        <f>ROUND(C173*D173,0)</f>
        <v>16397</v>
      </c>
      <c r="F173" s="276"/>
    </row>
    <row r="174" spans="1:6" x14ac:dyDescent="0.25">
      <c r="A174" s="133"/>
      <c r="B174" s="72"/>
      <c r="C174" s="89"/>
      <c r="D174" s="134"/>
      <c r="E174" s="134">
        <f>ROUND(C174*D174,0)</f>
        <v>0</v>
      </c>
      <c r="F174" s="276"/>
    </row>
    <row r="175" spans="1:6" ht="15.75" thickBot="1" x14ac:dyDescent="0.3">
      <c r="A175" s="274"/>
      <c r="B175" s="79"/>
      <c r="C175" s="135"/>
      <c r="D175" s="136"/>
      <c r="E175" s="134">
        <f>ROUND(C175*D175,0)</f>
        <v>0</v>
      </c>
      <c r="F175" s="277"/>
    </row>
    <row r="176" spans="1:6" x14ac:dyDescent="0.25">
      <c r="A176" s="273">
        <v>4110</v>
      </c>
      <c r="B176" s="118" t="s">
        <v>124</v>
      </c>
      <c r="C176" s="131"/>
      <c r="D176" s="132"/>
      <c r="E176" s="132">
        <f>SUM(E177:E183)</f>
        <v>51019</v>
      </c>
      <c r="F176" s="275">
        <f>E176</f>
        <v>51019</v>
      </c>
    </row>
    <row r="177" spans="1:6" x14ac:dyDescent="0.25">
      <c r="A177" s="133"/>
      <c r="B177" s="72" t="s">
        <v>191</v>
      </c>
      <c r="C177" s="89">
        <v>12</v>
      </c>
      <c r="D177" s="137">
        <v>234.82</v>
      </c>
      <c r="E177" s="134">
        <f t="shared" ref="E177:E183" si="12">ROUND(C177*D177,0)</f>
        <v>2818</v>
      </c>
      <c r="F177" s="276"/>
    </row>
    <row r="178" spans="1:6" x14ac:dyDescent="0.25">
      <c r="A178" s="133"/>
      <c r="B178" s="108" t="s">
        <v>147</v>
      </c>
      <c r="C178" s="89">
        <v>12</v>
      </c>
      <c r="D178" s="137">
        <v>3042.63</v>
      </c>
      <c r="E178" s="134">
        <f t="shared" si="12"/>
        <v>36512</v>
      </c>
      <c r="F178" s="276"/>
    </row>
    <row r="179" spans="1:6" x14ac:dyDescent="0.25">
      <c r="A179" s="133"/>
      <c r="B179" s="108" t="s">
        <v>192</v>
      </c>
      <c r="C179" s="89">
        <v>12</v>
      </c>
      <c r="D179" s="137">
        <v>491.63</v>
      </c>
      <c r="E179" s="134">
        <f t="shared" si="12"/>
        <v>5900</v>
      </c>
      <c r="F179" s="276"/>
    </row>
    <row r="180" spans="1:6" ht="25.5" customHeight="1" x14ac:dyDescent="0.25">
      <c r="A180" s="133"/>
      <c r="B180" s="108" t="s">
        <v>193</v>
      </c>
      <c r="C180" s="89">
        <v>1</v>
      </c>
      <c r="D180" s="137">
        <v>460</v>
      </c>
      <c r="E180" s="134">
        <f t="shared" si="12"/>
        <v>460</v>
      </c>
      <c r="F180" s="276"/>
    </row>
    <row r="181" spans="1:6" ht="24" x14ac:dyDescent="0.25">
      <c r="A181" s="133"/>
      <c r="B181" s="108" t="s">
        <v>227</v>
      </c>
      <c r="C181" s="248">
        <v>1</v>
      </c>
      <c r="D181" s="249">
        <v>1890.9</v>
      </c>
      <c r="E181" s="250">
        <f t="shared" si="12"/>
        <v>1891</v>
      </c>
      <c r="F181" s="276"/>
    </row>
    <row r="182" spans="1:6" x14ac:dyDescent="0.25">
      <c r="A182" s="133"/>
      <c r="B182" s="72"/>
      <c r="C182" s="89">
        <v>1</v>
      </c>
      <c r="D182" s="134"/>
      <c r="E182" s="134">
        <f t="shared" si="12"/>
        <v>0</v>
      </c>
      <c r="F182" s="276"/>
    </row>
    <row r="183" spans="1:6" ht="24.75" thickBot="1" x14ac:dyDescent="0.3">
      <c r="A183" s="274"/>
      <c r="B183" s="90" t="s">
        <v>194</v>
      </c>
      <c r="C183" s="138">
        <v>1</v>
      </c>
      <c r="D183" s="139">
        <v>3438</v>
      </c>
      <c r="E183" s="134">
        <f t="shared" si="12"/>
        <v>3438</v>
      </c>
      <c r="F183" s="277"/>
    </row>
    <row r="184" spans="1:6" x14ac:dyDescent="0.25">
      <c r="A184" s="273">
        <v>4120</v>
      </c>
      <c r="B184" s="118" t="s">
        <v>152</v>
      </c>
      <c r="C184" s="131"/>
      <c r="D184" s="132"/>
      <c r="E184" s="132">
        <f>SUM(E185:E191)</f>
        <v>52407</v>
      </c>
      <c r="F184" s="275">
        <f>E184</f>
        <v>52407</v>
      </c>
    </row>
    <row r="185" spans="1:6" x14ac:dyDescent="0.25">
      <c r="A185" s="133"/>
      <c r="B185" s="72" t="s">
        <v>195</v>
      </c>
      <c r="C185" s="89">
        <v>12</v>
      </c>
      <c r="D185" s="137">
        <v>33.47</v>
      </c>
      <c r="E185" s="134">
        <f>ROUND(C185*D185,0)</f>
        <v>402</v>
      </c>
      <c r="F185" s="276"/>
    </row>
    <row r="186" spans="1:6" ht="24" customHeight="1" x14ac:dyDescent="0.25">
      <c r="A186" s="133"/>
      <c r="B186" s="72" t="s">
        <v>196</v>
      </c>
      <c r="C186" s="89">
        <v>12</v>
      </c>
      <c r="D186" s="137">
        <v>434</v>
      </c>
      <c r="E186" s="134">
        <f>ROUND(116*D186,0)</f>
        <v>50344</v>
      </c>
      <c r="F186" s="276"/>
    </row>
    <row r="187" spans="1:6" ht="24" customHeight="1" x14ac:dyDescent="0.25">
      <c r="A187" s="133"/>
      <c r="B187" s="72" t="s">
        <v>197</v>
      </c>
      <c r="C187" s="89">
        <v>12</v>
      </c>
      <c r="D187" s="137">
        <v>70.069999999999993</v>
      </c>
      <c r="E187" s="134">
        <f t="shared" ref="E187:E192" si="13">ROUND(C187*D187,0)</f>
        <v>841</v>
      </c>
      <c r="F187" s="276"/>
    </row>
    <row r="188" spans="1:6" ht="24" customHeight="1" x14ac:dyDescent="0.25">
      <c r="A188" s="133"/>
      <c r="B188" s="72" t="s">
        <v>199</v>
      </c>
      <c r="C188" s="89">
        <v>1</v>
      </c>
      <c r="D188" s="137">
        <v>60.4</v>
      </c>
      <c r="E188" s="134">
        <f t="shared" si="13"/>
        <v>60</v>
      </c>
      <c r="F188" s="276"/>
    </row>
    <row r="189" spans="1:6" ht="24" x14ac:dyDescent="0.25">
      <c r="A189" s="133"/>
      <c r="B189" s="72" t="s">
        <v>228</v>
      </c>
      <c r="C189" s="89">
        <v>1</v>
      </c>
      <c r="D189" s="137">
        <v>269.5</v>
      </c>
      <c r="E189" s="134">
        <f t="shared" si="13"/>
        <v>270</v>
      </c>
      <c r="F189" s="276"/>
    </row>
    <row r="190" spans="1:6" x14ac:dyDescent="0.25">
      <c r="A190" s="133"/>
      <c r="B190" s="72"/>
      <c r="C190" s="89"/>
      <c r="D190" s="134"/>
      <c r="E190" s="134">
        <f t="shared" si="13"/>
        <v>0</v>
      </c>
      <c r="F190" s="276"/>
    </row>
    <row r="191" spans="1:6" ht="24.75" thickBot="1" x14ac:dyDescent="0.3">
      <c r="A191" s="274"/>
      <c r="B191" s="148" t="s">
        <v>200</v>
      </c>
      <c r="C191" s="251">
        <v>1</v>
      </c>
      <c r="D191" s="252">
        <v>490</v>
      </c>
      <c r="E191" s="250">
        <f t="shared" si="13"/>
        <v>490</v>
      </c>
      <c r="F191" s="277"/>
    </row>
    <row r="192" spans="1:6" ht="15.75" thickBot="1" x14ac:dyDescent="0.3">
      <c r="A192" s="144">
        <v>4440</v>
      </c>
      <c r="B192" s="253" t="s">
        <v>173</v>
      </c>
      <c r="C192" s="145">
        <v>1</v>
      </c>
      <c r="D192" s="146">
        <v>12315</v>
      </c>
      <c r="E192" s="146">
        <f t="shared" si="13"/>
        <v>12315</v>
      </c>
      <c r="F192" s="147">
        <f>E192</f>
        <v>12315</v>
      </c>
    </row>
    <row r="193" spans="1:6" x14ac:dyDescent="0.25">
      <c r="A193" s="273">
        <v>4790</v>
      </c>
      <c r="B193" s="140" t="s">
        <v>87</v>
      </c>
      <c r="C193" s="141"/>
      <c r="D193" s="142"/>
      <c r="E193" s="142">
        <f>SUM(E194:E201)</f>
        <v>260187</v>
      </c>
      <c r="F193" s="275">
        <f>E193</f>
        <v>260187</v>
      </c>
    </row>
    <row r="194" spans="1:6" x14ac:dyDescent="0.25">
      <c r="A194" s="133"/>
      <c r="B194" s="119" t="s">
        <v>201</v>
      </c>
      <c r="C194" s="89">
        <v>12</v>
      </c>
      <c r="D194" s="134">
        <v>17700</v>
      </c>
      <c r="E194" s="134">
        <f>ROUND((C194*D194),0)</f>
        <v>212400</v>
      </c>
      <c r="F194" s="276"/>
    </row>
    <row r="195" spans="1:6" x14ac:dyDescent="0.25">
      <c r="A195" s="133"/>
      <c r="B195" s="119" t="s">
        <v>183</v>
      </c>
      <c r="C195" s="143">
        <v>0.01</v>
      </c>
      <c r="D195" s="137">
        <f>E194+E196+E200+E201</f>
        <v>246720</v>
      </c>
      <c r="E195" s="134">
        <f>ROUND(C195*D195,0)</f>
        <v>2467</v>
      </c>
      <c r="F195" s="276"/>
    </row>
    <row r="196" spans="1:6" x14ac:dyDescent="0.25">
      <c r="A196" s="133"/>
      <c r="B196" s="120" t="s">
        <v>184</v>
      </c>
      <c r="C196" s="89">
        <v>12</v>
      </c>
      <c r="D196" s="134">
        <v>2860</v>
      </c>
      <c r="E196" s="134">
        <f t="shared" ref="E196:E201" si="14">ROUND((C196*D196),0)</f>
        <v>34320</v>
      </c>
      <c r="F196" s="276"/>
    </row>
    <row r="197" spans="1:6" ht="12" customHeight="1" x14ac:dyDescent="0.25">
      <c r="A197" s="133"/>
      <c r="B197" s="72"/>
      <c r="C197" s="89"/>
      <c r="D197" s="134"/>
      <c r="E197" s="134">
        <f t="shared" si="14"/>
        <v>0</v>
      </c>
      <c r="F197" s="276"/>
    </row>
    <row r="198" spans="1:6" x14ac:dyDescent="0.25">
      <c r="A198" s="133"/>
      <c r="B198" s="72"/>
      <c r="C198" s="89"/>
      <c r="D198" s="134"/>
      <c r="E198" s="134">
        <f t="shared" si="14"/>
        <v>0</v>
      </c>
      <c r="F198" s="276"/>
    </row>
    <row r="199" spans="1:6" x14ac:dyDescent="0.25">
      <c r="A199" s="133"/>
      <c r="B199" s="120" t="s">
        <v>185</v>
      </c>
      <c r="C199" s="254">
        <v>1</v>
      </c>
      <c r="D199" s="255">
        <v>11000</v>
      </c>
      <c r="E199" s="134">
        <f t="shared" si="14"/>
        <v>11000</v>
      </c>
      <c r="F199" s="276"/>
    </row>
    <row r="200" spans="1:6" x14ac:dyDescent="0.25">
      <c r="A200" s="133"/>
      <c r="B200" s="121" t="s">
        <v>202</v>
      </c>
      <c r="C200" s="89">
        <v>1</v>
      </c>
      <c r="D200" s="134">
        <v>0</v>
      </c>
      <c r="E200" s="134">
        <f t="shared" si="14"/>
        <v>0</v>
      </c>
      <c r="F200" s="276"/>
    </row>
    <row r="201" spans="1:6" ht="15.75" thickBot="1" x14ac:dyDescent="0.3">
      <c r="A201" s="274"/>
      <c r="B201" s="121" t="s">
        <v>203</v>
      </c>
      <c r="C201" s="89">
        <v>1</v>
      </c>
      <c r="D201" s="134">
        <v>0</v>
      </c>
      <c r="E201" s="134">
        <f t="shared" si="14"/>
        <v>0</v>
      </c>
      <c r="F201" s="277"/>
    </row>
    <row r="202" spans="1:6" ht="26.25" thickBot="1" x14ac:dyDescent="0.3">
      <c r="A202" s="144">
        <v>4800</v>
      </c>
      <c r="B202" s="115" t="s">
        <v>101</v>
      </c>
      <c r="C202" s="145">
        <v>1</v>
      </c>
      <c r="D202" s="146">
        <v>20000</v>
      </c>
      <c r="E202" s="146">
        <f>C202*D202</f>
        <v>20000</v>
      </c>
      <c r="F202" s="147">
        <f>E202</f>
        <v>20000</v>
      </c>
    </row>
    <row r="203" spans="1:6" x14ac:dyDescent="0.25">
      <c r="A203" s="269"/>
      <c r="B203" s="270"/>
      <c r="C203" s="270"/>
      <c r="D203" s="270"/>
      <c r="E203" s="270"/>
      <c r="F203" s="271"/>
    </row>
    <row r="204" spans="1:6" ht="26.25" thickBot="1" x14ac:dyDescent="0.3">
      <c r="A204" s="173">
        <v>801</v>
      </c>
      <c r="B204" s="256" t="s">
        <v>204</v>
      </c>
      <c r="C204" s="175"/>
      <c r="D204" s="176"/>
      <c r="E204" s="176">
        <f>SUM(E205:E206)</f>
        <v>20698</v>
      </c>
      <c r="F204" s="177">
        <f>SUM(F205:F206)</f>
        <v>20698</v>
      </c>
    </row>
    <row r="205" spans="1:6" ht="15.75" thickBot="1" x14ac:dyDescent="0.3">
      <c r="A205" s="101">
        <v>4300</v>
      </c>
      <c r="B205" s="102" t="s">
        <v>37</v>
      </c>
      <c r="C205" s="103">
        <v>1</v>
      </c>
      <c r="D205" s="104">
        <v>2000</v>
      </c>
      <c r="E205" s="104">
        <f>C205*D205</f>
        <v>2000</v>
      </c>
      <c r="F205" s="105">
        <f>E205</f>
        <v>2000</v>
      </c>
    </row>
    <row r="206" spans="1:6" ht="26.25" thickBot="1" x14ac:dyDescent="0.3">
      <c r="A206" s="101">
        <v>4700</v>
      </c>
      <c r="B206" s="102" t="s">
        <v>174</v>
      </c>
      <c r="C206" s="103">
        <v>1</v>
      </c>
      <c r="D206" s="104">
        <v>18697.84</v>
      </c>
      <c r="E206" s="104">
        <f>ROUND(C206*D206,0)</f>
        <v>18698</v>
      </c>
      <c r="F206" s="105">
        <f>E206</f>
        <v>18698</v>
      </c>
    </row>
    <row r="207" spans="1:6" ht="25.5" customHeight="1" x14ac:dyDescent="0.25">
      <c r="A207" s="269"/>
      <c r="B207" s="270"/>
      <c r="C207" s="270"/>
      <c r="D207" s="270"/>
      <c r="E207" s="270"/>
      <c r="F207" s="271"/>
    </row>
    <row r="208" spans="1:6" ht="26.25" thickBot="1" x14ac:dyDescent="0.3">
      <c r="A208" s="173">
        <v>801</v>
      </c>
      <c r="B208" s="256" t="s">
        <v>205</v>
      </c>
      <c r="C208" s="175"/>
      <c r="D208" s="176"/>
      <c r="E208" s="176">
        <f>E209+E216+E217+E222+E227+E231+E233+E234+E232</f>
        <v>467146</v>
      </c>
      <c r="F208" s="177">
        <f>SUM(F209:F234)</f>
        <v>467146</v>
      </c>
    </row>
    <row r="209" spans="1:6" x14ac:dyDescent="0.25">
      <c r="A209" s="66">
        <v>4010</v>
      </c>
      <c r="B209" s="93" t="s">
        <v>206</v>
      </c>
      <c r="C209" s="68"/>
      <c r="D209" s="69"/>
      <c r="E209" s="69">
        <f>SUM(E210+E211+E214+E215)</f>
        <v>231204</v>
      </c>
      <c r="F209" s="70">
        <f>E209</f>
        <v>231204</v>
      </c>
    </row>
    <row r="210" spans="1:6" x14ac:dyDescent="0.25">
      <c r="A210" s="71"/>
      <c r="B210" s="72" t="s">
        <v>138</v>
      </c>
      <c r="C210" s="73">
        <v>12</v>
      </c>
      <c r="D210" s="74">
        <v>19267</v>
      </c>
      <c r="E210" s="74">
        <f>C210*D210</f>
        <v>231204</v>
      </c>
      <c r="F210" s="75"/>
    </row>
    <row r="211" spans="1:6" x14ac:dyDescent="0.25">
      <c r="A211" s="71"/>
      <c r="B211" s="108" t="s">
        <v>207</v>
      </c>
      <c r="C211" s="88">
        <v>0</v>
      </c>
      <c r="D211" s="76"/>
      <c r="E211" s="74">
        <f>ROUND(C211*D211,0)</f>
        <v>0</v>
      </c>
      <c r="F211" s="75"/>
    </row>
    <row r="212" spans="1:6" x14ac:dyDescent="0.25">
      <c r="A212" s="71"/>
      <c r="B212" s="108"/>
      <c r="C212" s="73"/>
      <c r="D212" s="74"/>
      <c r="E212" s="74"/>
      <c r="F212" s="75"/>
    </row>
    <row r="213" spans="1:6" x14ac:dyDescent="0.25">
      <c r="A213" s="71"/>
      <c r="B213" s="72"/>
      <c r="C213" s="73"/>
      <c r="D213" s="74"/>
      <c r="E213" s="74"/>
      <c r="F213" s="75"/>
    </row>
    <row r="214" spans="1:6" x14ac:dyDescent="0.25">
      <c r="A214" s="71"/>
      <c r="B214" s="72" t="s">
        <v>208</v>
      </c>
      <c r="C214" s="73">
        <v>1</v>
      </c>
      <c r="D214" s="74"/>
      <c r="E214" s="74">
        <f>ROUND(C214*D214,0)</f>
        <v>0</v>
      </c>
      <c r="F214" s="75"/>
    </row>
    <row r="215" spans="1:6" ht="15.75" thickBot="1" x14ac:dyDescent="0.3">
      <c r="A215" s="78"/>
      <c r="B215" s="148" t="s">
        <v>209</v>
      </c>
      <c r="C215" s="91">
        <v>1</v>
      </c>
      <c r="D215" s="92"/>
      <c r="E215" s="74">
        <f>ROUND(C215*D215,0)</f>
        <v>0</v>
      </c>
      <c r="F215" s="83"/>
    </row>
    <row r="216" spans="1:6" ht="15.75" thickBot="1" x14ac:dyDescent="0.3">
      <c r="A216" s="101">
        <v>4040</v>
      </c>
      <c r="B216" s="102" t="s">
        <v>40</v>
      </c>
      <c r="C216" s="103">
        <v>1</v>
      </c>
      <c r="D216" s="104">
        <v>19700</v>
      </c>
      <c r="E216" s="104">
        <f>C216*D216</f>
        <v>19700</v>
      </c>
      <c r="F216" s="105">
        <f>E216</f>
        <v>19700</v>
      </c>
    </row>
    <row r="217" spans="1:6" x14ac:dyDescent="0.25">
      <c r="A217" s="66">
        <v>4110</v>
      </c>
      <c r="B217" s="67" t="s">
        <v>124</v>
      </c>
      <c r="C217" s="58"/>
      <c r="D217" s="59"/>
      <c r="E217" s="59">
        <f>SUM(E218:E221)</f>
        <v>98224</v>
      </c>
      <c r="F217" s="70">
        <f>E217</f>
        <v>98224</v>
      </c>
    </row>
    <row r="218" spans="1:6" x14ac:dyDescent="0.25">
      <c r="A218" s="71"/>
      <c r="B218" s="72" t="s">
        <v>210</v>
      </c>
      <c r="C218" s="73">
        <v>12</v>
      </c>
      <c r="D218" s="76">
        <v>3221.75</v>
      </c>
      <c r="E218" s="74">
        <f>ROUND(C218*D218,0)</f>
        <v>38661</v>
      </c>
      <c r="F218" s="75"/>
    </row>
    <row r="219" spans="1:6" x14ac:dyDescent="0.25">
      <c r="A219" s="71"/>
      <c r="B219" s="72" t="s">
        <v>211</v>
      </c>
      <c r="C219" s="73">
        <v>1</v>
      </c>
      <c r="D219" s="74">
        <f>E211*H1</f>
        <v>0</v>
      </c>
      <c r="E219" s="74">
        <f>ROUND(C219*D219,0)</f>
        <v>0</v>
      </c>
      <c r="F219" s="75"/>
    </row>
    <row r="220" spans="1:6" x14ac:dyDescent="0.25">
      <c r="A220" s="71"/>
      <c r="B220" s="72"/>
      <c r="C220" s="73"/>
      <c r="D220" s="74"/>
      <c r="E220" s="74">
        <f>ROUND(C220*D220,0)</f>
        <v>0</v>
      </c>
      <c r="F220" s="75"/>
    </row>
    <row r="221" spans="1:6" ht="24.75" thickBot="1" x14ac:dyDescent="0.3">
      <c r="A221" s="71"/>
      <c r="B221" s="148" t="s">
        <v>194</v>
      </c>
      <c r="C221" s="91">
        <v>11</v>
      </c>
      <c r="D221" s="149">
        <v>5414.85</v>
      </c>
      <c r="E221" s="74">
        <f>ROUND(C221*D221,0)</f>
        <v>59563</v>
      </c>
      <c r="F221" s="83"/>
    </row>
    <row r="222" spans="1:6" x14ac:dyDescent="0.25">
      <c r="A222" s="273">
        <v>4120</v>
      </c>
      <c r="B222" s="93" t="s">
        <v>152</v>
      </c>
      <c r="C222" s="68"/>
      <c r="D222" s="69"/>
      <c r="E222" s="69">
        <f>SUM(E223:E226)</f>
        <v>6292</v>
      </c>
      <c r="F222" s="70">
        <f>E222</f>
        <v>6292</v>
      </c>
    </row>
    <row r="223" spans="1:6" x14ac:dyDescent="0.25">
      <c r="A223" s="133"/>
      <c r="B223" s="72" t="s">
        <v>212</v>
      </c>
      <c r="C223" s="73">
        <v>12</v>
      </c>
      <c r="D223" s="76">
        <v>460</v>
      </c>
      <c r="E223" s="74">
        <f>ROUND(C223*D223,0)</f>
        <v>5520</v>
      </c>
      <c r="F223" s="75"/>
    </row>
    <row r="224" spans="1:6" ht="26.25" customHeight="1" x14ac:dyDescent="0.25">
      <c r="A224" s="133"/>
      <c r="B224" s="72" t="s">
        <v>213</v>
      </c>
      <c r="C224" s="73">
        <v>1</v>
      </c>
      <c r="D224" s="76">
        <f>E211*H3</f>
        <v>0</v>
      </c>
      <c r="E224" s="74">
        <f>ROUND(C224*D224,0)</f>
        <v>0</v>
      </c>
      <c r="F224" s="75"/>
    </row>
    <row r="225" spans="1:6" x14ac:dyDescent="0.25">
      <c r="A225" s="133"/>
      <c r="B225" s="72"/>
      <c r="C225" s="73"/>
      <c r="D225" s="74"/>
      <c r="E225" s="74">
        <f>ROUND(C225*D225,0)</f>
        <v>0</v>
      </c>
      <c r="F225" s="75"/>
    </row>
    <row r="226" spans="1:6" ht="24" customHeight="1" thickBot="1" x14ac:dyDescent="0.3">
      <c r="A226" s="133"/>
      <c r="B226" s="148" t="s">
        <v>200</v>
      </c>
      <c r="C226" s="85">
        <v>1</v>
      </c>
      <c r="D226" s="150">
        <v>771.75</v>
      </c>
      <c r="E226" s="74">
        <f>ROUND(C226*D226,0)</f>
        <v>772</v>
      </c>
      <c r="F226" s="83"/>
    </row>
    <row r="227" spans="1:6" x14ac:dyDescent="0.25">
      <c r="A227" s="66">
        <v>4210</v>
      </c>
      <c r="B227" s="67" t="s">
        <v>214</v>
      </c>
      <c r="C227" s="58"/>
      <c r="D227" s="59"/>
      <c r="E227" s="59">
        <f>SUM(E228:E230)</f>
        <v>2000</v>
      </c>
      <c r="F227" s="70">
        <f>E227</f>
        <v>2000</v>
      </c>
    </row>
    <row r="228" spans="1:6" ht="48" x14ac:dyDescent="0.25">
      <c r="A228" s="71"/>
      <c r="B228" s="72" t="s">
        <v>268</v>
      </c>
      <c r="C228" s="85">
        <v>1</v>
      </c>
      <c r="D228" s="86">
        <v>2000</v>
      </c>
      <c r="E228" s="74">
        <f t="shared" ref="E228:E234" si="15">C228*D228</f>
        <v>2000</v>
      </c>
      <c r="F228" s="75"/>
    </row>
    <row r="229" spans="1:6" ht="1.5" customHeight="1" thickBot="1" x14ac:dyDescent="0.3">
      <c r="A229" s="71"/>
      <c r="B229" s="72"/>
      <c r="C229" s="73"/>
      <c r="D229" s="74"/>
      <c r="E229" s="74">
        <f t="shared" si="15"/>
        <v>0</v>
      </c>
      <c r="F229" s="75"/>
    </row>
    <row r="230" spans="1:6" ht="15.75" hidden="1" thickBot="1" x14ac:dyDescent="0.3">
      <c r="A230" s="78"/>
      <c r="B230" s="79"/>
      <c r="C230" s="98"/>
      <c r="D230" s="82"/>
      <c r="E230" s="82">
        <f t="shared" si="15"/>
        <v>0</v>
      </c>
      <c r="F230" s="83"/>
    </row>
    <row r="231" spans="1:6" ht="15.75" thickBot="1" x14ac:dyDescent="0.3">
      <c r="A231" s="218">
        <v>4220</v>
      </c>
      <c r="B231" s="258" t="s">
        <v>41</v>
      </c>
      <c r="C231" s="103">
        <v>10</v>
      </c>
      <c r="D231" s="104">
        <v>10000</v>
      </c>
      <c r="E231" s="104">
        <f t="shared" si="15"/>
        <v>100000</v>
      </c>
      <c r="F231" s="105">
        <f>E231</f>
        <v>100000</v>
      </c>
    </row>
    <row r="232" spans="1:6" ht="15.75" thickBot="1" x14ac:dyDescent="0.3">
      <c r="A232" s="66">
        <v>4280</v>
      </c>
      <c r="B232" s="112" t="s">
        <v>36</v>
      </c>
      <c r="C232" s="113">
        <v>1</v>
      </c>
      <c r="D232" s="114">
        <v>0</v>
      </c>
      <c r="E232" s="114">
        <f>C232*D232</f>
        <v>0</v>
      </c>
      <c r="F232" s="75">
        <f>E232</f>
        <v>0</v>
      </c>
    </row>
    <row r="233" spans="1:6" ht="15.75" thickBot="1" x14ac:dyDescent="0.3">
      <c r="A233" s="101">
        <v>4440</v>
      </c>
      <c r="B233" s="102" t="s">
        <v>173</v>
      </c>
      <c r="C233" s="103">
        <v>1</v>
      </c>
      <c r="D233" s="104">
        <v>9726</v>
      </c>
      <c r="E233" s="104">
        <f t="shared" si="15"/>
        <v>9726</v>
      </c>
      <c r="F233" s="105">
        <f>E233</f>
        <v>9726</v>
      </c>
    </row>
    <row r="234" spans="1:6" ht="26.25" thickBot="1" x14ac:dyDescent="0.3">
      <c r="A234" s="78">
        <v>4710</v>
      </c>
      <c r="B234" s="154" t="s">
        <v>38</v>
      </c>
      <c r="C234" s="123">
        <v>1</v>
      </c>
      <c r="D234" s="124">
        <v>0</v>
      </c>
      <c r="E234" s="124">
        <f t="shared" si="15"/>
        <v>0</v>
      </c>
      <c r="F234" s="83">
        <f>E234</f>
        <v>0</v>
      </c>
    </row>
    <row r="235" spans="1:6" x14ac:dyDescent="0.25">
      <c r="A235" s="269"/>
      <c r="B235" s="270"/>
      <c r="C235" s="270"/>
      <c r="D235" s="270"/>
      <c r="E235" s="270"/>
      <c r="F235" s="271"/>
    </row>
    <row r="236" spans="1:6" ht="72" customHeight="1" thickBot="1" x14ac:dyDescent="0.3">
      <c r="A236" s="173">
        <v>801</v>
      </c>
      <c r="B236" s="256" t="s">
        <v>271</v>
      </c>
      <c r="C236" s="175"/>
      <c r="D236" s="176"/>
      <c r="E236" s="176">
        <f>E237+E242+E249++E256+E267+E258+E257</f>
        <v>0</v>
      </c>
      <c r="F236" s="177">
        <f>SUM(F237:F267)</f>
        <v>0</v>
      </c>
    </row>
    <row r="237" spans="1:6" x14ac:dyDescent="0.25">
      <c r="A237" s="66">
        <v>4010</v>
      </c>
      <c r="B237" s="67" t="s">
        <v>285</v>
      </c>
      <c r="C237" s="58"/>
      <c r="D237" s="59"/>
      <c r="E237" s="59">
        <f>SUM(E238:E240)</f>
        <v>0</v>
      </c>
      <c r="F237" s="70">
        <f>E237</f>
        <v>0</v>
      </c>
    </row>
    <row r="238" spans="1:6" x14ac:dyDescent="0.25">
      <c r="A238" s="71"/>
      <c r="B238" s="72" t="s">
        <v>286</v>
      </c>
      <c r="C238" s="73">
        <v>12</v>
      </c>
      <c r="D238" s="74"/>
      <c r="E238" s="74">
        <f>C238*D238</f>
        <v>0</v>
      </c>
      <c r="F238" s="75"/>
    </row>
    <row r="239" spans="1:6" x14ac:dyDescent="0.25">
      <c r="A239" s="71"/>
      <c r="B239" s="72"/>
      <c r="C239" s="73">
        <v>12</v>
      </c>
      <c r="D239" s="74">
        <v>0</v>
      </c>
      <c r="E239" s="74">
        <f>ROUND(C239*D239,0)</f>
        <v>0</v>
      </c>
      <c r="F239" s="75"/>
    </row>
    <row r="240" spans="1:6" ht="15.75" thickBot="1" x14ac:dyDescent="0.3">
      <c r="A240" s="272"/>
      <c r="B240" s="79"/>
      <c r="C240" s="73">
        <v>1</v>
      </c>
      <c r="D240" s="74">
        <v>0</v>
      </c>
      <c r="E240" s="74">
        <f>C240*D240</f>
        <v>0</v>
      </c>
      <c r="F240" s="83"/>
    </row>
    <row r="241" spans="1:6" ht="15.75" thickBot="1" x14ac:dyDescent="0.3">
      <c r="A241" s="71">
        <v>4040</v>
      </c>
      <c r="B241" s="264" t="s">
        <v>287</v>
      </c>
      <c r="C241" s="85">
        <v>1</v>
      </c>
      <c r="D241" s="86"/>
      <c r="E241" s="265">
        <f>D241</f>
        <v>0</v>
      </c>
      <c r="F241" s="75"/>
    </row>
    <row r="242" spans="1:6" ht="39" customHeight="1" x14ac:dyDescent="0.25">
      <c r="A242" s="66">
        <v>4110</v>
      </c>
      <c r="B242" s="67" t="s">
        <v>124</v>
      </c>
      <c r="C242" s="58"/>
      <c r="D242" s="59"/>
      <c r="E242" s="59">
        <f>SUM(E243:E248)</f>
        <v>0</v>
      </c>
      <c r="F242" s="70">
        <f>E242</f>
        <v>0</v>
      </c>
    </row>
    <row r="243" spans="1:6" x14ac:dyDescent="0.25">
      <c r="A243" s="71"/>
      <c r="B243" s="72" t="s">
        <v>288</v>
      </c>
      <c r="C243" s="73">
        <v>12</v>
      </c>
      <c r="D243" s="76"/>
      <c r="E243" s="74">
        <f t="shared" ref="E243:E248" si="16">ROUND(C243*D243,0)</f>
        <v>0</v>
      </c>
      <c r="F243" s="75"/>
    </row>
    <row r="244" spans="1:6" ht="15" customHeight="1" x14ac:dyDescent="0.25">
      <c r="A244" s="71"/>
      <c r="B244" s="108" t="s">
        <v>147</v>
      </c>
      <c r="C244" s="73">
        <v>12</v>
      </c>
      <c r="D244" s="76">
        <f>D259*$H$1</f>
        <v>0</v>
      </c>
      <c r="E244" s="74">
        <f t="shared" si="16"/>
        <v>0</v>
      </c>
      <c r="F244" s="75"/>
    </row>
    <row r="245" spans="1:6" ht="25.5" customHeight="1" x14ac:dyDescent="0.25">
      <c r="A245" s="71"/>
      <c r="B245" s="108" t="s">
        <v>148</v>
      </c>
      <c r="C245" s="73">
        <v>12</v>
      </c>
      <c r="D245" s="76">
        <f>D260*$H$1</f>
        <v>0</v>
      </c>
      <c r="E245" s="74">
        <f t="shared" si="16"/>
        <v>0</v>
      </c>
      <c r="F245" s="75"/>
    </row>
    <row r="246" spans="1:6" x14ac:dyDescent="0.25">
      <c r="A246" s="71"/>
      <c r="B246" s="108" t="s">
        <v>149</v>
      </c>
      <c r="C246" s="73">
        <v>1</v>
      </c>
      <c r="D246" s="76">
        <f>D261*$H$1</f>
        <v>0</v>
      </c>
      <c r="E246" s="74">
        <f t="shared" si="16"/>
        <v>0</v>
      </c>
      <c r="F246" s="75"/>
    </row>
    <row r="247" spans="1:6" x14ac:dyDescent="0.25">
      <c r="A247" s="71"/>
      <c r="B247" s="108" t="s">
        <v>217</v>
      </c>
      <c r="C247" s="73">
        <v>1</v>
      </c>
      <c r="D247" s="76">
        <f>D262*$H$1</f>
        <v>0</v>
      </c>
      <c r="E247" s="74">
        <f t="shared" si="16"/>
        <v>0</v>
      </c>
      <c r="F247" s="75"/>
    </row>
    <row r="248" spans="1:6" ht="15.75" thickBot="1" x14ac:dyDescent="0.3">
      <c r="A248" s="78"/>
      <c r="B248" s="72" t="s">
        <v>289</v>
      </c>
      <c r="C248" s="73">
        <v>1</v>
      </c>
      <c r="D248" s="74"/>
      <c r="E248" s="74">
        <f t="shared" si="16"/>
        <v>0</v>
      </c>
      <c r="F248" s="83"/>
    </row>
    <row r="249" spans="1:6" x14ac:dyDescent="0.25">
      <c r="A249" s="66">
        <v>4120</v>
      </c>
      <c r="B249" s="155" t="s">
        <v>152</v>
      </c>
      <c r="C249" s="58"/>
      <c r="D249" s="59"/>
      <c r="E249" s="59">
        <f>SUM(E250:E255)</f>
        <v>0</v>
      </c>
      <c r="F249" s="70">
        <f>E249</f>
        <v>0</v>
      </c>
    </row>
    <row r="250" spans="1:6" x14ac:dyDescent="0.25">
      <c r="A250" s="71"/>
      <c r="B250" s="72" t="s">
        <v>195</v>
      </c>
      <c r="C250" s="73">
        <v>12</v>
      </c>
      <c r="D250" s="76"/>
      <c r="E250" s="74">
        <f t="shared" ref="E250:E255" si="17">ROUND(C250*D250,0)</f>
        <v>0</v>
      </c>
      <c r="F250" s="75"/>
    </row>
    <row r="251" spans="1:6" x14ac:dyDescent="0.25">
      <c r="A251" s="71"/>
      <c r="B251" s="108" t="s">
        <v>196</v>
      </c>
      <c r="C251" s="73">
        <v>12</v>
      </c>
      <c r="D251" s="76"/>
      <c r="E251" s="74">
        <f t="shared" si="17"/>
        <v>0</v>
      </c>
      <c r="F251" s="75"/>
    </row>
    <row r="252" spans="1:6" ht="24" customHeight="1" x14ac:dyDescent="0.25">
      <c r="A252" s="71"/>
      <c r="B252" s="108" t="s">
        <v>218</v>
      </c>
      <c r="C252" s="73">
        <v>12</v>
      </c>
      <c r="D252" s="76">
        <f>D240*$H$3</f>
        <v>0</v>
      </c>
      <c r="E252" s="74">
        <f t="shared" si="17"/>
        <v>0</v>
      </c>
      <c r="F252" s="75"/>
    </row>
    <row r="253" spans="1:6" ht="24" customHeight="1" x14ac:dyDescent="0.25">
      <c r="A253" s="71"/>
      <c r="B253" s="108" t="s">
        <v>198</v>
      </c>
      <c r="C253" s="73">
        <v>1</v>
      </c>
      <c r="D253" s="76">
        <f>D242*$H$3</f>
        <v>0</v>
      </c>
      <c r="E253" s="74">
        <f t="shared" si="17"/>
        <v>0</v>
      </c>
      <c r="F253" s="75"/>
    </row>
    <row r="254" spans="1:6" x14ac:dyDescent="0.25">
      <c r="A254" s="71"/>
      <c r="B254" s="108" t="s">
        <v>290</v>
      </c>
      <c r="C254" s="73">
        <v>1</v>
      </c>
      <c r="D254" s="76"/>
      <c r="E254" s="74">
        <f t="shared" si="17"/>
        <v>0</v>
      </c>
      <c r="F254" s="75"/>
    </row>
    <row r="255" spans="1:6" ht="0.75" customHeight="1" thickBot="1" x14ac:dyDescent="0.3">
      <c r="A255" s="78"/>
      <c r="B255" s="108"/>
      <c r="C255" s="107"/>
      <c r="D255" s="109"/>
      <c r="E255" s="109">
        <f t="shared" si="17"/>
        <v>0</v>
      </c>
      <c r="F255" s="83"/>
    </row>
    <row r="256" spans="1:6" ht="15.75" thickBot="1" x14ac:dyDescent="0.3">
      <c r="A256" s="101">
        <v>4440</v>
      </c>
      <c r="B256" s="102" t="s">
        <v>173</v>
      </c>
      <c r="C256" s="103">
        <v>1</v>
      </c>
      <c r="D256" s="104"/>
      <c r="E256" s="104">
        <f>C256*D256</f>
        <v>0</v>
      </c>
      <c r="F256" s="105">
        <f>E256</f>
        <v>0</v>
      </c>
    </row>
    <row r="257" spans="1:6" ht="26.25" thickBot="1" x14ac:dyDescent="0.3">
      <c r="A257" s="78">
        <v>4710</v>
      </c>
      <c r="B257" s="154" t="s">
        <v>38</v>
      </c>
      <c r="C257" s="123">
        <v>1</v>
      </c>
      <c r="D257" s="124"/>
      <c r="E257" s="124">
        <f>C257*D257</f>
        <v>0</v>
      </c>
      <c r="F257" s="83">
        <f>E257</f>
        <v>0</v>
      </c>
    </row>
    <row r="258" spans="1:6" x14ac:dyDescent="0.25">
      <c r="A258" s="66">
        <v>4790</v>
      </c>
      <c r="B258" s="67" t="s">
        <v>220</v>
      </c>
      <c r="C258" s="58"/>
      <c r="D258" s="59"/>
      <c r="E258" s="59">
        <f>SUM(E259:E266)</f>
        <v>0</v>
      </c>
      <c r="F258" s="70">
        <f>E258</f>
        <v>0</v>
      </c>
    </row>
    <row r="259" spans="1:6" x14ac:dyDescent="0.25">
      <c r="A259" s="71"/>
      <c r="B259" s="119" t="s">
        <v>273</v>
      </c>
      <c r="C259" s="73">
        <v>12</v>
      </c>
      <c r="D259" s="74"/>
      <c r="E259" s="74">
        <f>C259*D259</f>
        <v>0</v>
      </c>
      <c r="F259" s="75"/>
    </row>
    <row r="260" spans="1:6" x14ac:dyDescent="0.25">
      <c r="A260" s="71"/>
      <c r="B260" s="119" t="s">
        <v>274</v>
      </c>
      <c r="C260" s="88">
        <v>0.01</v>
      </c>
      <c r="D260" s="76">
        <v>0</v>
      </c>
      <c r="E260" s="74">
        <v>0</v>
      </c>
      <c r="F260" s="75"/>
    </row>
    <row r="261" spans="1:6" x14ac:dyDescent="0.25">
      <c r="A261" s="71"/>
      <c r="B261" s="120" t="s">
        <v>184</v>
      </c>
      <c r="C261" s="73">
        <v>12</v>
      </c>
      <c r="D261" s="74"/>
      <c r="E261" s="74">
        <f>C261*D261</f>
        <v>0</v>
      </c>
      <c r="F261" s="75"/>
    </row>
    <row r="262" spans="1:6" x14ac:dyDescent="0.25">
      <c r="A262" s="71"/>
      <c r="B262" s="108"/>
      <c r="C262" s="73"/>
      <c r="D262" s="74"/>
      <c r="E262" s="74">
        <f>ROUND(C262*D262,0)</f>
        <v>0</v>
      </c>
      <c r="F262" s="75"/>
    </row>
    <row r="263" spans="1:6" x14ac:dyDescent="0.25">
      <c r="A263" s="71"/>
      <c r="B263" s="72"/>
      <c r="C263" s="73"/>
      <c r="D263" s="74"/>
      <c r="E263" s="74">
        <f>C263*D263</f>
        <v>0</v>
      </c>
      <c r="F263" s="75"/>
    </row>
    <row r="264" spans="1:6" x14ac:dyDescent="0.25">
      <c r="A264" s="71"/>
      <c r="B264" s="72" t="s">
        <v>185</v>
      </c>
      <c r="C264" s="73">
        <v>1</v>
      </c>
      <c r="D264" s="74">
        <v>0</v>
      </c>
      <c r="E264" s="74">
        <f>C264*D264</f>
        <v>0</v>
      </c>
      <c r="F264" s="75"/>
    </row>
    <row r="265" spans="1:6" x14ac:dyDescent="0.25">
      <c r="A265" s="71"/>
      <c r="B265" s="121" t="s">
        <v>208</v>
      </c>
      <c r="C265" s="73">
        <v>1</v>
      </c>
      <c r="D265" s="74">
        <v>0</v>
      </c>
      <c r="E265" s="74">
        <f>C265*D265</f>
        <v>0</v>
      </c>
      <c r="F265" s="75"/>
    </row>
    <row r="266" spans="1:6" ht="15.75" thickBot="1" x14ac:dyDescent="0.3">
      <c r="A266" s="78"/>
      <c r="B266" s="121" t="s">
        <v>203</v>
      </c>
      <c r="C266" s="73">
        <v>1</v>
      </c>
      <c r="D266" s="74">
        <v>0</v>
      </c>
      <c r="E266" s="74">
        <f>C266*D266</f>
        <v>0</v>
      </c>
      <c r="F266" s="83"/>
    </row>
    <row r="267" spans="1:6" ht="25.5" customHeight="1" thickBot="1" x14ac:dyDescent="0.3">
      <c r="A267" s="144">
        <v>4800</v>
      </c>
      <c r="B267" s="115" t="s">
        <v>101</v>
      </c>
      <c r="C267" s="103">
        <v>1</v>
      </c>
      <c r="D267" s="104">
        <v>0</v>
      </c>
      <c r="E267" s="104">
        <f>C267*D267</f>
        <v>0</v>
      </c>
      <c r="F267" s="105">
        <f>E267</f>
        <v>0</v>
      </c>
    </row>
    <row r="268" spans="1:6" x14ac:dyDescent="0.25">
      <c r="A268" s="269"/>
      <c r="B268" s="270"/>
      <c r="C268" s="270"/>
      <c r="D268" s="270"/>
      <c r="E268" s="270"/>
      <c r="F268" s="271"/>
    </row>
    <row r="269" spans="1:6" ht="64.5" thickBot="1" x14ac:dyDescent="0.3">
      <c r="A269" s="173">
        <v>801</v>
      </c>
      <c r="B269" s="256" t="s">
        <v>215</v>
      </c>
      <c r="C269" s="175"/>
      <c r="D269" s="176"/>
      <c r="E269" s="176">
        <f>E270+E274+E281+E288+E289+E290+E300+E291</f>
        <v>501104</v>
      </c>
      <c r="F269" s="177">
        <f>SUM(F270:F300)</f>
        <v>501104</v>
      </c>
    </row>
    <row r="270" spans="1:6" ht="25.5" x14ac:dyDescent="0.25">
      <c r="A270" s="66">
        <v>3020</v>
      </c>
      <c r="B270" s="67" t="s">
        <v>216</v>
      </c>
      <c r="C270" s="58"/>
      <c r="D270" s="59"/>
      <c r="E270" s="59">
        <f>SUM(E271:E273)</f>
        <v>17856</v>
      </c>
      <c r="F270" s="70">
        <f>E270</f>
        <v>17856</v>
      </c>
    </row>
    <row r="271" spans="1:6" x14ac:dyDescent="0.25">
      <c r="A271" s="71"/>
      <c r="B271" s="72" t="s">
        <v>190</v>
      </c>
      <c r="C271" s="73">
        <v>12</v>
      </c>
      <c r="D271" s="74">
        <v>1488</v>
      </c>
      <c r="E271" s="74">
        <f>C271*D271</f>
        <v>17856</v>
      </c>
      <c r="F271" s="75"/>
    </row>
    <row r="272" spans="1:6" ht="24" customHeight="1" x14ac:dyDescent="0.25">
      <c r="A272" s="71"/>
      <c r="B272" s="72"/>
      <c r="C272" s="73"/>
      <c r="D272" s="74">
        <v>0</v>
      </c>
      <c r="E272" s="74">
        <f>ROUND(C272*D272,0)</f>
        <v>0</v>
      </c>
      <c r="F272" s="75"/>
    </row>
    <row r="273" spans="1:6" ht="15.75" thickBot="1" x14ac:dyDescent="0.3">
      <c r="A273" s="78"/>
      <c r="B273" s="79"/>
      <c r="C273" s="73"/>
      <c r="D273" s="74">
        <v>0</v>
      </c>
      <c r="E273" s="74">
        <f>C273*D273</f>
        <v>0</v>
      </c>
      <c r="F273" s="83"/>
    </row>
    <row r="274" spans="1:6" x14ac:dyDescent="0.25">
      <c r="A274" s="66">
        <v>4110</v>
      </c>
      <c r="B274" s="67" t="s">
        <v>124</v>
      </c>
      <c r="C274" s="58"/>
      <c r="D274" s="59"/>
      <c r="E274" s="59">
        <f>SUM(E275:E280)</f>
        <v>70748</v>
      </c>
      <c r="F274" s="70">
        <f>E274</f>
        <v>70748</v>
      </c>
    </row>
    <row r="275" spans="1:6" x14ac:dyDescent="0.25">
      <c r="A275" s="71"/>
      <c r="B275" s="72" t="s">
        <v>145</v>
      </c>
      <c r="C275" s="73">
        <v>12</v>
      </c>
      <c r="D275" s="76">
        <v>249.26</v>
      </c>
      <c r="E275" s="74">
        <f t="shared" ref="E275:E280" si="18">ROUND(C275*D275,0)</f>
        <v>2991</v>
      </c>
      <c r="F275" s="75"/>
    </row>
    <row r="276" spans="1:6" x14ac:dyDescent="0.25">
      <c r="A276" s="71"/>
      <c r="B276" s="108" t="s">
        <v>147</v>
      </c>
      <c r="C276" s="73">
        <v>12</v>
      </c>
      <c r="D276" s="76">
        <v>3042.63</v>
      </c>
      <c r="E276" s="74">
        <f t="shared" si="18"/>
        <v>36512</v>
      </c>
      <c r="F276" s="75"/>
    </row>
    <row r="277" spans="1:6" ht="90" customHeight="1" x14ac:dyDescent="0.25">
      <c r="A277" s="71"/>
      <c r="B277" s="108" t="s">
        <v>148</v>
      </c>
      <c r="C277" s="73">
        <v>12</v>
      </c>
      <c r="D277" s="76">
        <v>1933.88</v>
      </c>
      <c r="E277" s="74">
        <f t="shared" si="18"/>
        <v>23207</v>
      </c>
      <c r="F277" s="75"/>
    </row>
    <row r="278" spans="1:6" x14ac:dyDescent="0.25">
      <c r="A278" s="71"/>
      <c r="B278" s="108" t="s">
        <v>149</v>
      </c>
      <c r="C278" s="73">
        <v>1</v>
      </c>
      <c r="D278" s="76">
        <v>4000</v>
      </c>
      <c r="E278" s="74">
        <f t="shared" si="18"/>
        <v>4000</v>
      </c>
      <c r="F278" s="75"/>
    </row>
    <row r="279" spans="1:6" x14ac:dyDescent="0.25">
      <c r="A279" s="71"/>
      <c r="B279" s="108" t="s">
        <v>217</v>
      </c>
      <c r="C279" s="73">
        <v>1</v>
      </c>
      <c r="D279" s="76">
        <v>600</v>
      </c>
      <c r="E279" s="74">
        <f t="shared" si="18"/>
        <v>600</v>
      </c>
      <c r="F279" s="75"/>
    </row>
    <row r="280" spans="1:6" ht="15.75" thickBot="1" x14ac:dyDescent="0.3">
      <c r="A280" s="78"/>
      <c r="B280" s="72" t="s">
        <v>306</v>
      </c>
      <c r="C280" s="73">
        <v>1</v>
      </c>
      <c r="D280" s="74">
        <v>3438</v>
      </c>
      <c r="E280" s="74">
        <f t="shared" si="18"/>
        <v>3438</v>
      </c>
      <c r="F280" s="83"/>
    </row>
    <row r="281" spans="1:6" x14ac:dyDescent="0.25">
      <c r="A281" s="66">
        <v>4120</v>
      </c>
      <c r="B281" s="155" t="s">
        <v>152</v>
      </c>
      <c r="C281" s="58"/>
      <c r="D281" s="59"/>
      <c r="E281" s="59">
        <f>SUM(E282:E287)</f>
        <v>9615</v>
      </c>
      <c r="F281" s="70">
        <f>E281</f>
        <v>9615</v>
      </c>
    </row>
    <row r="282" spans="1:6" x14ac:dyDescent="0.25">
      <c r="A282" s="71"/>
      <c r="B282" s="72" t="s">
        <v>195</v>
      </c>
      <c r="C282" s="73">
        <v>12</v>
      </c>
      <c r="D282" s="76">
        <v>35.53</v>
      </c>
      <c r="E282" s="74">
        <f t="shared" ref="E282:E287" si="19">ROUND(C282*D282,0)</f>
        <v>426</v>
      </c>
      <c r="F282" s="75"/>
    </row>
    <row r="283" spans="1:6" x14ac:dyDescent="0.25">
      <c r="A283" s="71"/>
      <c r="B283" s="108" t="s">
        <v>196</v>
      </c>
      <c r="C283" s="73">
        <v>12</v>
      </c>
      <c r="D283" s="76">
        <v>434</v>
      </c>
      <c r="E283" s="74">
        <f t="shared" si="19"/>
        <v>5208</v>
      </c>
      <c r="F283" s="75"/>
    </row>
    <row r="284" spans="1:6" ht="24" customHeight="1" x14ac:dyDescent="0.25">
      <c r="A284" s="71"/>
      <c r="B284" s="108" t="s">
        <v>218</v>
      </c>
      <c r="C284" s="73">
        <v>12</v>
      </c>
      <c r="D284" s="76">
        <v>275.63</v>
      </c>
      <c r="E284" s="74">
        <f t="shared" si="19"/>
        <v>3308</v>
      </c>
      <c r="F284" s="75"/>
    </row>
    <row r="285" spans="1:6" ht="24" customHeight="1" x14ac:dyDescent="0.25">
      <c r="A285" s="71"/>
      <c r="B285" s="108" t="s">
        <v>198</v>
      </c>
      <c r="C285" s="73">
        <v>1</v>
      </c>
      <c r="D285" s="76">
        <v>98</v>
      </c>
      <c r="E285" s="74">
        <f t="shared" si="19"/>
        <v>98</v>
      </c>
      <c r="F285" s="75"/>
    </row>
    <row r="286" spans="1:6" x14ac:dyDescent="0.25">
      <c r="A286" s="71"/>
      <c r="B286" s="108" t="s">
        <v>219</v>
      </c>
      <c r="C286" s="73">
        <v>1</v>
      </c>
      <c r="D286" s="76">
        <v>85.11</v>
      </c>
      <c r="E286" s="74">
        <f t="shared" si="19"/>
        <v>85</v>
      </c>
      <c r="F286" s="75"/>
    </row>
    <row r="287" spans="1:6" ht="24" customHeight="1" thickBot="1" x14ac:dyDescent="0.3">
      <c r="A287" s="78"/>
      <c r="B287" s="108" t="s">
        <v>307</v>
      </c>
      <c r="C287" s="107">
        <v>1</v>
      </c>
      <c r="D287" s="109">
        <v>490</v>
      </c>
      <c r="E287" s="109">
        <f t="shared" si="19"/>
        <v>490</v>
      </c>
      <c r="F287" s="83"/>
    </row>
    <row r="288" spans="1:6" ht="15.75" thickBot="1" x14ac:dyDescent="0.3">
      <c r="A288" s="101">
        <v>4280</v>
      </c>
      <c r="B288" s="102" t="s">
        <v>36</v>
      </c>
      <c r="C288" s="103">
        <v>0</v>
      </c>
      <c r="D288" s="104">
        <v>0</v>
      </c>
      <c r="E288" s="104">
        <f>C288*D288</f>
        <v>0</v>
      </c>
      <c r="F288" s="105">
        <f>E288</f>
        <v>0</v>
      </c>
    </row>
    <row r="289" spans="1:6" ht="15.75" thickBot="1" x14ac:dyDescent="0.3">
      <c r="A289" s="101">
        <v>4300</v>
      </c>
      <c r="B289" s="102" t="s">
        <v>37</v>
      </c>
      <c r="C289" s="103">
        <v>12</v>
      </c>
      <c r="D289" s="104">
        <v>1500</v>
      </c>
      <c r="E289" s="104">
        <f>C289*D289</f>
        <v>18000</v>
      </c>
      <c r="F289" s="105">
        <f>E289</f>
        <v>18000</v>
      </c>
    </row>
    <row r="290" spans="1:6" ht="15.75" thickBot="1" x14ac:dyDescent="0.3">
      <c r="A290" s="71">
        <v>4440</v>
      </c>
      <c r="B290" s="112" t="s">
        <v>173</v>
      </c>
      <c r="C290" s="113">
        <v>1</v>
      </c>
      <c r="D290" s="114">
        <v>15394</v>
      </c>
      <c r="E290" s="114">
        <f>C290*D290</f>
        <v>15394</v>
      </c>
      <c r="F290" s="75">
        <f>E290</f>
        <v>15394</v>
      </c>
    </row>
    <row r="291" spans="1:6" x14ac:dyDescent="0.25">
      <c r="A291" s="66">
        <v>4790</v>
      </c>
      <c r="B291" s="67" t="s">
        <v>220</v>
      </c>
      <c r="C291" s="58"/>
      <c r="D291" s="59"/>
      <c r="E291" s="59">
        <f>SUM(E292:E299)</f>
        <v>369491</v>
      </c>
      <c r="F291" s="70">
        <f>E291</f>
        <v>369491</v>
      </c>
    </row>
    <row r="292" spans="1:6" x14ac:dyDescent="0.25">
      <c r="A292" s="71"/>
      <c r="B292" s="119" t="s">
        <v>182</v>
      </c>
      <c r="C292" s="73">
        <v>12</v>
      </c>
      <c r="D292" s="74">
        <v>18193</v>
      </c>
      <c r="E292" s="74">
        <f>C292*D292</f>
        <v>218316</v>
      </c>
      <c r="F292" s="75"/>
    </row>
    <row r="293" spans="1:6" x14ac:dyDescent="0.25">
      <c r="A293" s="71"/>
      <c r="B293" s="119" t="s">
        <v>183</v>
      </c>
      <c r="C293" s="88">
        <v>0.01</v>
      </c>
      <c r="D293" s="76">
        <v>3675</v>
      </c>
      <c r="E293" s="74">
        <f>D293</f>
        <v>3675</v>
      </c>
      <c r="F293" s="75"/>
    </row>
    <row r="294" spans="1:6" ht="24" customHeight="1" x14ac:dyDescent="0.25">
      <c r="A294" s="71"/>
      <c r="B294" s="120" t="s">
        <v>184</v>
      </c>
      <c r="C294" s="73">
        <v>12</v>
      </c>
      <c r="D294" s="74">
        <v>12000</v>
      </c>
      <c r="E294" s="74">
        <f t="shared" ref="E294:E300" si="20">C294*D294</f>
        <v>144000</v>
      </c>
      <c r="F294" s="75"/>
    </row>
    <row r="295" spans="1:6" x14ac:dyDescent="0.25">
      <c r="A295" s="71"/>
      <c r="B295" s="108"/>
      <c r="C295" s="73"/>
      <c r="D295" s="74"/>
      <c r="E295" s="74">
        <f>ROUND(C295*D295,0)</f>
        <v>0</v>
      </c>
      <c r="F295" s="75"/>
    </row>
    <row r="296" spans="1:6" x14ac:dyDescent="0.25">
      <c r="A296" s="71"/>
      <c r="B296" s="72"/>
      <c r="C296" s="73"/>
      <c r="D296" s="74"/>
      <c r="E296" s="74">
        <f t="shared" si="20"/>
        <v>0</v>
      </c>
      <c r="F296" s="75"/>
    </row>
    <row r="297" spans="1:6" x14ac:dyDescent="0.25">
      <c r="A297" s="71"/>
      <c r="B297" s="72" t="s">
        <v>185</v>
      </c>
      <c r="C297" s="73">
        <v>1</v>
      </c>
      <c r="D297" s="74">
        <v>3500</v>
      </c>
      <c r="E297" s="74">
        <f t="shared" si="20"/>
        <v>3500</v>
      </c>
      <c r="F297" s="75"/>
    </row>
    <row r="298" spans="1:6" x14ac:dyDescent="0.25">
      <c r="A298" s="71"/>
      <c r="B298" s="121" t="s">
        <v>208</v>
      </c>
      <c r="C298" s="73">
        <v>1</v>
      </c>
      <c r="D298" s="74">
        <v>0</v>
      </c>
      <c r="E298" s="74">
        <f t="shared" si="20"/>
        <v>0</v>
      </c>
      <c r="F298" s="75"/>
    </row>
    <row r="299" spans="1:6" ht="15.75" thickBot="1" x14ac:dyDescent="0.3">
      <c r="A299" s="78"/>
      <c r="B299" s="121" t="s">
        <v>203</v>
      </c>
      <c r="C299" s="73">
        <v>1</v>
      </c>
      <c r="D299" s="74">
        <v>0</v>
      </c>
      <c r="E299" s="74">
        <f t="shared" si="20"/>
        <v>0</v>
      </c>
      <c r="F299" s="83"/>
    </row>
    <row r="300" spans="1:6" ht="26.25" thickBot="1" x14ac:dyDescent="0.3">
      <c r="A300" s="144">
        <v>4800</v>
      </c>
      <c r="B300" s="115" t="s">
        <v>101</v>
      </c>
      <c r="C300" s="103">
        <v>1</v>
      </c>
      <c r="D300" s="104">
        <v>0</v>
      </c>
      <c r="E300" s="104">
        <f t="shared" si="20"/>
        <v>0</v>
      </c>
      <c r="F300" s="105">
        <f>E300</f>
        <v>0</v>
      </c>
    </row>
    <row r="301" spans="1:6" x14ac:dyDescent="0.25">
      <c r="A301" s="266"/>
      <c r="B301" s="267"/>
      <c r="C301" s="267"/>
      <c r="D301" s="267"/>
      <c r="E301" s="267"/>
      <c r="F301" s="268"/>
    </row>
    <row r="302" spans="1:6" ht="63.75" x14ac:dyDescent="0.25">
      <c r="A302" s="259">
        <v>801</v>
      </c>
      <c r="B302" s="260" t="s">
        <v>222</v>
      </c>
      <c r="C302" s="261"/>
      <c r="D302" s="262"/>
      <c r="E302" s="262">
        <f>SUM(E304)</f>
        <v>0</v>
      </c>
      <c r="F302" s="263">
        <f>SUM(F303:F304)</f>
        <v>0</v>
      </c>
    </row>
    <row r="303" spans="1:6" x14ac:dyDescent="0.25">
      <c r="A303" s="156">
        <v>4210</v>
      </c>
      <c r="B303" s="157" t="s">
        <v>160</v>
      </c>
      <c r="C303" s="158">
        <v>0</v>
      </c>
      <c r="D303" s="159">
        <v>0</v>
      </c>
      <c r="E303" s="159">
        <f>C303*D303</f>
        <v>0</v>
      </c>
      <c r="F303" s="151">
        <f>E303</f>
        <v>0</v>
      </c>
    </row>
    <row r="304" spans="1:6" x14ac:dyDescent="0.25">
      <c r="A304" s="156">
        <v>4240</v>
      </c>
      <c r="B304" s="157" t="s">
        <v>223</v>
      </c>
      <c r="C304" s="158">
        <v>0</v>
      </c>
      <c r="D304" s="159">
        <v>0</v>
      </c>
      <c r="E304" s="159">
        <f>C304*D304</f>
        <v>0</v>
      </c>
      <c r="F304" s="151">
        <f>E304</f>
        <v>0</v>
      </c>
    </row>
    <row r="305" spans="1:6" ht="24" customHeight="1" thickBot="1" x14ac:dyDescent="0.3">
      <c r="A305" s="152"/>
      <c r="B305" s="160"/>
      <c r="C305" s="161"/>
      <c r="D305" s="162"/>
      <c r="E305" s="162"/>
      <c r="F305" s="153"/>
    </row>
    <row r="306" spans="1:6" ht="15.75" thickBot="1" x14ac:dyDescent="0.3">
      <c r="A306" s="101"/>
      <c r="B306" s="103" t="s">
        <v>22</v>
      </c>
      <c r="C306" s="163"/>
      <c r="D306" s="147"/>
      <c r="E306" s="147">
        <f>SUM(E9+E204+E208+E269+E302+E170+E108+E236)</f>
        <v>6428509.1299999999</v>
      </c>
      <c r="F306" s="147">
        <f>SUM(F9+F204+F208+F269+F170+F302+F108+F236)</f>
        <v>6428509.1299999999</v>
      </c>
    </row>
    <row r="310" spans="1:6" ht="102" customHeight="1" x14ac:dyDescent="0.25"/>
    <row r="312" spans="1:6" ht="25.5" customHeight="1" x14ac:dyDescent="0.25"/>
  </sheetData>
  <mergeCells count="3">
    <mergeCell ref="A2:C2"/>
    <mergeCell ref="A3:C3"/>
    <mergeCell ref="A1:E1"/>
  </mergeCells>
  <conditionalFormatting sqref="D3:F3 C4:F4 E5:F5 C6:F17 E18:E23 C24:F25 E26:E35 C36:F36 E37:E45 C46:F47 C48:E50 C51:F54 C55:D58 C59:F59 C60:E61 C62:F63 C64:E78 C79:F85 C86:E94 F94 C95:F95 C96:E103 C104:F142 C143:E144 C145:F168 C170:F170 C172:F172 C173:E175 C176:F176 C177:E183 C184:F184 C185:E191 C192:F193 C194:E201 C202:F202 C204:F206 C208:F209 C210:D215 C216:F217 C218:E221 C222:F222 C223:E226 C227:F228 C229:E230 C231:F234 C236:F237 C238:E241 C242:F242 C243:E248 C249:F249 C250:E255 C256:F258 C259:E266 C267:F267 C269:F270 C271:E273 C274:F274 C275:E280 C281:F281 C282:E287 C288:F291 C292:E299 C300:F300 C302:F306">
    <cfRule type="cellIs" dxfId="1" priority="1" stopIfTrue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9EEB7-9747-43B5-9923-463AEAC68AC0}">
  <dimension ref="A1:F168"/>
  <sheetViews>
    <sheetView topLeftCell="A157" zoomScale="110" zoomScaleNormal="110" workbookViewId="0">
      <selection activeCell="H134" sqref="H134"/>
    </sheetView>
  </sheetViews>
  <sheetFormatPr defaultRowHeight="15" x14ac:dyDescent="0.25"/>
  <cols>
    <col min="2" max="2" width="41.28515625" customWidth="1"/>
    <col min="3" max="4" width="14.85546875" customWidth="1"/>
    <col min="5" max="5" width="27.85546875" customWidth="1"/>
    <col min="6" max="6" width="33.5703125" customWidth="1"/>
  </cols>
  <sheetData>
    <row r="1" spans="1:6" x14ac:dyDescent="0.25">
      <c r="A1" s="403" t="s">
        <v>355</v>
      </c>
      <c r="B1" s="403"/>
      <c r="C1" s="403"/>
      <c r="D1" s="403"/>
      <c r="E1" s="403"/>
      <c r="F1" s="403"/>
    </row>
    <row r="2" spans="1:6" x14ac:dyDescent="0.25">
      <c r="A2" s="48"/>
      <c r="B2" s="48"/>
      <c r="C2" s="48"/>
      <c r="D2" s="48"/>
      <c r="E2" s="48"/>
      <c r="F2" s="48"/>
    </row>
    <row r="3" spans="1:6" x14ac:dyDescent="0.25">
      <c r="A3" s="403" t="s">
        <v>309</v>
      </c>
      <c r="B3" s="430"/>
      <c r="C3" s="430"/>
      <c r="D3" s="430"/>
      <c r="E3" s="430"/>
      <c r="F3" s="430"/>
    </row>
    <row r="4" spans="1:6" ht="15.75" thickBot="1" x14ac:dyDescent="0.3">
      <c r="A4" s="48"/>
      <c r="B4" s="49"/>
      <c r="C4" s="48"/>
      <c r="D4" s="48"/>
      <c r="E4" s="50"/>
      <c r="F4" s="50"/>
    </row>
    <row r="5" spans="1:6" ht="26.25" thickBot="1" x14ac:dyDescent="0.3">
      <c r="A5" s="288" t="s">
        <v>125</v>
      </c>
      <c r="B5" s="288" t="s">
        <v>126</v>
      </c>
      <c r="C5" s="288" t="s">
        <v>127</v>
      </c>
      <c r="D5" s="288" t="s">
        <v>128</v>
      </c>
      <c r="E5" s="288" t="s">
        <v>129</v>
      </c>
      <c r="F5" s="288" t="s">
        <v>130</v>
      </c>
    </row>
    <row r="6" spans="1:6" ht="15.75" thickBot="1" x14ac:dyDescent="0.3">
      <c r="A6" s="289"/>
      <c r="B6" s="290"/>
      <c r="C6" s="291"/>
      <c r="D6" s="292"/>
      <c r="E6" s="293"/>
      <c r="F6" s="294"/>
    </row>
    <row r="7" spans="1:6" ht="15.75" thickBot="1" x14ac:dyDescent="0.3">
      <c r="A7" s="101">
        <v>801</v>
      </c>
      <c r="B7" s="295" t="s">
        <v>131</v>
      </c>
      <c r="C7" s="220"/>
      <c r="D7" s="221"/>
      <c r="E7" s="104">
        <f>SUM(E9+E102+E106+E134)</f>
        <v>2320138.12</v>
      </c>
      <c r="F7" s="105">
        <f>SUM(F9+F102+F106+F134)</f>
        <v>2320138.12</v>
      </c>
    </row>
    <row r="8" spans="1:6" x14ac:dyDescent="0.25">
      <c r="A8" s="272"/>
      <c r="B8" s="296"/>
      <c r="C8" s="297"/>
      <c r="D8" s="298"/>
      <c r="E8" s="299"/>
      <c r="F8" s="300"/>
    </row>
    <row r="9" spans="1:6" ht="15.75" thickBot="1" x14ac:dyDescent="0.3">
      <c r="A9" s="301">
        <v>801</v>
      </c>
      <c r="B9" s="302" t="s">
        <v>252</v>
      </c>
      <c r="C9" s="303"/>
      <c r="D9" s="304"/>
      <c r="E9" s="305">
        <f>SUM(E10+E17+E24+E25+E36+E46+E47+E52+E56+E62+E63+E79+E80+E81+E82+E83+E84+E91+E100+E51)</f>
        <v>1572570</v>
      </c>
      <c r="F9" s="306">
        <f>SUM(F10:F100)</f>
        <v>1572570</v>
      </c>
    </row>
    <row r="10" spans="1:6" ht="30" customHeight="1" x14ac:dyDescent="0.25">
      <c r="A10" s="388">
        <v>3020</v>
      </c>
      <c r="B10" s="67" t="s">
        <v>253</v>
      </c>
      <c r="C10" s="438"/>
      <c r="D10" s="439"/>
      <c r="E10" s="59">
        <f>SUM(E11:E16)</f>
        <v>39594</v>
      </c>
      <c r="F10" s="391">
        <f>E10</f>
        <v>39594</v>
      </c>
    </row>
    <row r="11" spans="1:6" ht="30" customHeight="1" x14ac:dyDescent="0.25">
      <c r="A11" s="389"/>
      <c r="B11" s="72" t="s">
        <v>134</v>
      </c>
      <c r="C11" s="196">
        <v>12</v>
      </c>
      <c r="D11" s="197">
        <v>3188.7</v>
      </c>
      <c r="E11" s="74">
        <f t="shared" ref="E11:E16" si="0">ROUND((C11*D11),0)</f>
        <v>38264</v>
      </c>
      <c r="F11" s="392"/>
    </row>
    <row r="12" spans="1:6" ht="30" customHeight="1" x14ac:dyDescent="0.25">
      <c r="A12" s="389"/>
      <c r="B12" s="72" t="s">
        <v>135</v>
      </c>
      <c r="C12" s="196">
        <v>1</v>
      </c>
      <c r="D12" s="209">
        <v>500</v>
      </c>
      <c r="E12" s="74">
        <f t="shared" si="0"/>
        <v>500</v>
      </c>
      <c r="F12" s="392"/>
    </row>
    <row r="13" spans="1:6" ht="30" customHeight="1" x14ac:dyDescent="0.25">
      <c r="A13" s="389"/>
      <c r="B13" s="72" t="s">
        <v>310</v>
      </c>
      <c r="C13" s="196">
        <v>1</v>
      </c>
      <c r="D13" s="197">
        <v>830</v>
      </c>
      <c r="E13" s="74">
        <f t="shared" si="0"/>
        <v>830</v>
      </c>
      <c r="F13" s="392"/>
    </row>
    <row r="14" spans="1:6" ht="30" customHeight="1" thickBot="1" x14ac:dyDescent="0.3">
      <c r="A14" s="389"/>
      <c r="B14" s="72" t="s">
        <v>136</v>
      </c>
      <c r="C14" s="196">
        <v>0</v>
      </c>
      <c r="D14" s="209">
        <v>1000</v>
      </c>
      <c r="E14" s="74">
        <f t="shared" si="0"/>
        <v>0</v>
      </c>
      <c r="F14" s="392"/>
    </row>
    <row r="15" spans="1:6" ht="30" hidden="1" customHeight="1" x14ac:dyDescent="0.25">
      <c r="A15" s="389"/>
      <c r="B15" s="77"/>
      <c r="C15" s="196"/>
      <c r="D15" s="197"/>
      <c r="E15" s="74">
        <f t="shared" si="0"/>
        <v>0</v>
      </c>
      <c r="F15" s="392"/>
    </row>
    <row r="16" spans="1:6" ht="30" hidden="1" customHeight="1" thickBot="1" x14ac:dyDescent="0.3">
      <c r="A16" s="390"/>
      <c r="B16" s="79"/>
      <c r="C16" s="201"/>
      <c r="D16" s="202"/>
      <c r="E16" s="74">
        <f t="shared" si="0"/>
        <v>0</v>
      </c>
      <c r="F16" s="393"/>
    </row>
    <row r="17" spans="1:6" ht="45" customHeight="1" x14ac:dyDescent="0.25">
      <c r="A17" s="388">
        <v>4010</v>
      </c>
      <c r="B17" s="67" t="s">
        <v>254</v>
      </c>
      <c r="C17" s="438"/>
      <c r="D17" s="439"/>
      <c r="E17" s="59">
        <f>SUM(E18:E23)</f>
        <v>246015</v>
      </c>
      <c r="F17" s="391">
        <f>E17</f>
        <v>246015</v>
      </c>
    </row>
    <row r="18" spans="1:6" ht="33" customHeight="1" x14ac:dyDescent="0.25">
      <c r="A18" s="389"/>
      <c r="B18" s="72" t="s">
        <v>138</v>
      </c>
      <c r="C18" s="196">
        <v>12</v>
      </c>
      <c r="D18" s="197">
        <v>20501.25</v>
      </c>
      <c r="E18" s="117">
        <f>ROUND((C18*D18),0)</f>
        <v>246015</v>
      </c>
      <c r="F18" s="392"/>
    </row>
    <row r="19" spans="1:6" ht="34.5" customHeight="1" x14ac:dyDescent="0.25">
      <c r="A19" s="389"/>
      <c r="B19" s="72" t="s">
        <v>139</v>
      </c>
      <c r="C19" s="208">
        <v>0</v>
      </c>
      <c r="D19" s="209">
        <f>E18+E22+E23</f>
        <v>246015</v>
      </c>
      <c r="E19" s="117">
        <f>ROUND(C19*D19,0)</f>
        <v>0</v>
      </c>
      <c r="F19" s="392"/>
    </row>
    <row r="20" spans="1:6" x14ac:dyDescent="0.25">
      <c r="A20" s="389"/>
      <c r="B20" s="72"/>
      <c r="C20" s="196">
        <v>1</v>
      </c>
      <c r="D20" s="197"/>
      <c r="E20" s="117">
        <f>ROUND((C20*D20),0)</f>
        <v>0</v>
      </c>
      <c r="F20" s="392"/>
    </row>
    <row r="21" spans="1:6" x14ac:dyDescent="0.25">
      <c r="A21" s="389"/>
      <c r="B21" s="72"/>
      <c r="C21" s="196">
        <v>1</v>
      </c>
      <c r="D21" s="197"/>
      <c r="E21" s="117">
        <f>ROUND((C21*D21),0)</f>
        <v>0</v>
      </c>
      <c r="F21" s="392"/>
    </row>
    <row r="22" spans="1:6" ht="21.75" customHeight="1" x14ac:dyDescent="0.25">
      <c r="A22" s="389"/>
      <c r="B22" s="72" t="s">
        <v>142</v>
      </c>
      <c r="C22" s="196">
        <v>1</v>
      </c>
      <c r="D22" s="197">
        <v>0</v>
      </c>
      <c r="E22" s="117">
        <f>ROUND((C22*D22),0)</f>
        <v>0</v>
      </c>
      <c r="F22" s="392"/>
    </row>
    <row r="23" spans="1:6" ht="15.75" thickBot="1" x14ac:dyDescent="0.3">
      <c r="A23" s="390"/>
      <c r="B23" s="90" t="s">
        <v>143</v>
      </c>
      <c r="C23" s="201">
        <v>1</v>
      </c>
      <c r="D23" s="202">
        <v>0</v>
      </c>
      <c r="E23" s="117">
        <f>ROUND((C23*D23),0)</f>
        <v>0</v>
      </c>
      <c r="F23" s="393"/>
    </row>
    <row r="24" spans="1:6" ht="33.75" customHeight="1" thickBot="1" x14ac:dyDescent="0.3">
      <c r="A24" s="71">
        <v>4040</v>
      </c>
      <c r="B24" s="112" t="s">
        <v>144</v>
      </c>
      <c r="C24" s="211">
        <v>1</v>
      </c>
      <c r="D24" s="212">
        <v>17000</v>
      </c>
      <c r="E24" s="114">
        <f>C24*D24</f>
        <v>17000</v>
      </c>
      <c r="F24" s="75">
        <f>E24</f>
        <v>17000</v>
      </c>
    </row>
    <row r="25" spans="1:6" ht="38.25" customHeight="1" x14ac:dyDescent="0.25">
      <c r="A25" s="388">
        <v>4110</v>
      </c>
      <c r="B25" s="67" t="s">
        <v>124</v>
      </c>
      <c r="C25" s="438"/>
      <c r="D25" s="439"/>
      <c r="E25" s="59">
        <f>SUM(E26:E35)</f>
        <v>225130</v>
      </c>
      <c r="F25" s="391">
        <f>E25</f>
        <v>225130</v>
      </c>
    </row>
    <row r="26" spans="1:6" ht="25.5" customHeight="1" x14ac:dyDescent="0.25">
      <c r="A26" s="389"/>
      <c r="B26" s="72" t="s">
        <v>145</v>
      </c>
      <c r="C26" s="196">
        <v>12</v>
      </c>
      <c r="D26" s="209">
        <v>765.64</v>
      </c>
      <c r="E26" s="74">
        <f t="shared" ref="E26:E35" si="1">ROUND(C26*D26,0)</f>
        <v>9188</v>
      </c>
      <c r="F26" s="392"/>
    </row>
    <row r="27" spans="1:6" ht="25.5" customHeight="1" x14ac:dyDescent="0.25">
      <c r="A27" s="389"/>
      <c r="B27" s="72" t="s">
        <v>146</v>
      </c>
      <c r="C27" s="196">
        <v>12</v>
      </c>
      <c r="D27" s="209">
        <v>5597.91</v>
      </c>
      <c r="E27" s="74">
        <f t="shared" si="1"/>
        <v>67175</v>
      </c>
      <c r="F27" s="392"/>
    </row>
    <row r="28" spans="1:6" ht="25.5" customHeight="1" x14ac:dyDescent="0.25">
      <c r="A28" s="389"/>
      <c r="B28" s="72" t="s">
        <v>147</v>
      </c>
      <c r="C28" s="196">
        <v>12</v>
      </c>
      <c r="D28" s="209">
        <v>10724.39</v>
      </c>
      <c r="E28" s="74">
        <f t="shared" si="1"/>
        <v>128693</v>
      </c>
      <c r="F28" s="392"/>
    </row>
    <row r="29" spans="1:6" ht="25.5" customHeight="1" x14ac:dyDescent="0.25">
      <c r="A29" s="389"/>
      <c r="B29" s="72" t="s">
        <v>148</v>
      </c>
      <c r="C29" s="196">
        <v>12</v>
      </c>
      <c r="D29" s="209">
        <v>1231</v>
      </c>
      <c r="E29" s="74">
        <f t="shared" si="1"/>
        <v>14772</v>
      </c>
      <c r="F29" s="392"/>
    </row>
    <row r="30" spans="1:6" ht="25.5" customHeight="1" x14ac:dyDescent="0.25">
      <c r="A30" s="389"/>
      <c r="B30" s="72" t="s">
        <v>312</v>
      </c>
      <c r="C30" s="196">
        <v>1</v>
      </c>
      <c r="D30" s="209">
        <v>3690</v>
      </c>
      <c r="E30" s="74">
        <f t="shared" si="1"/>
        <v>3690</v>
      </c>
      <c r="F30" s="392"/>
    </row>
    <row r="31" spans="1:6" ht="25.5" customHeight="1" x14ac:dyDescent="0.25">
      <c r="A31" s="389"/>
      <c r="B31" s="72" t="s">
        <v>255</v>
      </c>
      <c r="C31" s="196">
        <v>1</v>
      </c>
      <c r="D31" s="209">
        <v>1612</v>
      </c>
      <c r="E31" s="74">
        <f t="shared" si="1"/>
        <v>1612</v>
      </c>
      <c r="F31" s="392"/>
    </row>
    <row r="32" spans="1:6" ht="21.75" customHeight="1" x14ac:dyDescent="0.25">
      <c r="A32" s="389"/>
      <c r="B32" s="72"/>
      <c r="C32" s="196"/>
      <c r="D32" s="197"/>
      <c r="E32" s="74">
        <f t="shared" si="1"/>
        <v>0</v>
      </c>
      <c r="F32" s="392"/>
    </row>
    <row r="33" spans="1:6" ht="25.5" hidden="1" customHeight="1" x14ac:dyDescent="0.25">
      <c r="A33" s="389"/>
      <c r="B33" s="72"/>
      <c r="C33" s="196"/>
      <c r="D33" s="197"/>
      <c r="E33" s="74">
        <f t="shared" si="1"/>
        <v>0</v>
      </c>
      <c r="F33" s="392"/>
    </row>
    <row r="34" spans="1:6" ht="25.5" customHeight="1" x14ac:dyDescent="0.25">
      <c r="A34" s="389"/>
      <c r="B34" s="72" t="s">
        <v>150</v>
      </c>
      <c r="C34" s="196">
        <v>10</v>
      </c>
      <c r="D34" s="197">
        <f>D46*H1</f>
        <v>0</v>
      </c>
      <c r="E34" s="74">
        <f t="shared" si="1"/>
        <v>0</v>
      </c>
      <c r="F34" s="392"/>
    </row>
    <row r="35" spans="1:6" ht="25.5" customHeight="1" thickBot="1" x14ac:dyDescent="0.3">
      <c r="A35" s="390"/>
      <c r="B35" s="90" t="s">
        <v>151</v>
      </c>
      <c r="C35" s="201">
        <v>1</v>
      </c>
      <c r="D35" s="215">
        <f>(D24+D100)*H1</f>
        <v>0</v>
      </c>
      <c r="E35" s="82">
        <f t="shared" si="1"/>
        <v>0</v>
      </c>
      <c r="F35" s="393"/>
    </row>
    <row r="36" spans="1:6" x14ac:dyDescent="0.25">
      <c r="A36" s="388">
        <v>4120</v>
      </c>
      <c r="B36" s="67" t="s">
        <v>152</v>
      </c>
      <c r="C36" s="438"/>
      <c r="D36" s="439"/>
      <c r="E36" s="59">
        <f>SUM(E37:E45)</f>
        <v>33996</v>
      </c>
      <c r="F36" s="391">
        <f>E36</f>
        <v>33996</v>
      </c>
    </row>
    <row r="37" spans="1:6" ht="32.25" customHeight="1" x14ac:dyDescent="0.25">
      <c r="A37" s="389"/>
      <c r="B37" s="72" t="s">
        <v>153</v>
      </c>
      <c r="C37" s="196">
        <v>12</v>
      </c>
      <c r="D37" s="209">
        <v>109.12</v>
      </c>
      <c r="E37" s="74">
        <f t="shared" ref="E37:E45" si="2">ROUND(C37*D37,0)</f>
        <v>1309</v>
      </c>
      <c r="F37" s="392"/>
    </row>
    <row r="38" spans="1:6" ht="32.25" customHeight="1" x14ac:dyDescent="0.25">
      <c r="A38" s="389"/>
      <c r="B38" s="72" t="s">
        <v>154</v>
      </c>
      <c r="C38" s="196">
        <v>12</v>
      </c>
      <c r="D38" s="209">
        <v>797.84</v>
      </c>
      <c r="E38" s="74">
        <f t="shared" si="2"/>
        <v>9574</v>
      </c>
      <c r="F38" s="392"/>
    </row>
    <row r="39" spans="1:6" ht="32.25" customHeight="1" x14ac:dyDescent="0.25">
      <c r="A39" s="389"/>
      <c r="B39" s="72" t="s">
        <v>155</v>
      </c>
      <c r="C39" s="196">
        <v>12</v>
      </c>
      <c r="D39" s="209">
        <v>1528.49</v>
      </c>
      <c r="E39" s="74">
        <f t="shared" si="2"/>
        <v>18342</v>
      </c>
      <c r="F39" s="392"/>
    </row>
    <row r="40" spans="1:6" ht="32.25" customHeight="1" x14ac:dyDescent="0.25">
      <c r="A40" s="389"/>
      <c r="B40" s="72" t="s">
        <v>156</v>
      </c>
      <c r="C40" s="196">
        <v>12</v>
      </c>
      <c r="D40" s="209">
        <v>175.42</v>
      </c>
      <c r="E40" s="74">
        <f t="shared" si="2"/>
        <v>2105</v>
      </c>
      <c r="F40" s="392"/>
    </row>
    <row r="41" spans="1:6" ht="32.25" customHeight="1" x14ac:dyDescent="0.25">
      <c r="A41" s="389"/>
      <c r="B41" s="72" t="s">
        <v>313</v>
      </c>
      <c r="C41" s="196">
        <v>1</v>
      </c>
      <c r="D41" s="209">
        <v>526.75</v>
      </c>
      <c r="E41" s="74">
        <f t="shared" si="2"/>
        <v>527</v>
      </c>
      <c r="F41" s="392"/>
    </row>
    <row r="42" spans="1:6" ht="21.75" customHeight="1" x14ac:dyDescent="0.25">
      <c r="A42" s="389"/>
      <c r="B42" s="72" t="s">
        <v>255</v>
      </c>
      <c r="C42" s="196">
        <v>1</v>
      </c>
      <c r="D42" s="209">
        <v>229.66</v>
      </c>
      <c r="E42" s="74">
        <f t="shared" si="2"/>
        <v>230</v>
      </c>
      <c r="F42" s="392"/>
    </row>
    <row r="43" spans="1:6" ht="21.75" customHeight="1" x14ac:dyDescent="0.25">
      <c r="A43" s="389"/>
      <c r="B43" s="72"/>
      <c r="C43" s="196">
        <v>1</v>
      </c>
      <c r="D43" s="197"/>
      <c r="E43" s="74">
        <f t="shared" si="2"/>
        <v>0</v>
      </c>
      <c r="F43" s="392"/>
    </row>
    <row r="44" spans="1:6" ht="30.75" customHeight="1" x14ac:dyDescent="0.25">
      <c r="A44" s="389"/>
      <c r="B44" s="72" t="s">
        <v>157</v>
      </c>
      <c r="C44" s="196">
        <v>10</v>
      </c>
      <c r="D44" s="197">
        <v>0</v>
      </c>
      <c r="E44" s="74">
        <f t="shared" si="2"/>
        <v>0</v>
      </c>
      <c r="F44" s="392"/>
    </row>
    <row r="45" spans="1:6" ht="32.25" customHeight="1" thickBot="1" x14ac:dyDescent="0.3">
      <c r="A45" s="390"/>
      <c r="B45" s="90" t="s">
        <v>158</v>
      </c>
      <c r="C45" s="201">
        <v>1</v>
      </c>
      <c r="D45" s="219">
        <v>1908.55</v>
      </c>
      <c r="E45" s="82">
        <f t="shared" si="2"/>
        <v>1909</v>
      </c>
      <c r="F45" s="393"/>
    </row>
    <row r="46" spans="1:6" ht="32.25" customHeight="1" thickBot="1" x14ac:dyDescent="0.3">
      <c r="A46" s="101">
        <v>4170</v>
      </c>
      <c r="B46" s="102" t="s">
        <v>315</v>
      </c>
      <c r="C46" s="220">
        <v>0</v>
      </c>
      <c r="D46" s="221">
        <v>0</v>
      </c>
      <c r="E46" s="104">
        <f>C46*D46</f>
        <v>0</v>
      </c>
      <c r="F46" s="105">
        <f>E46</f>
        <v>0</v>
      </c>
    </row>
    <row r="47" spans="1:6" ht="42" customHeight="1" x14ac:dyDescent="0.25">
      <c r="A47" s="440">
        <v>4210</v>
      </c>
      <c r="B47" s="223" t="s">
        <v>316</v>
      </c>
      <c r="C47" s="442"/>
      <c r="D47" s="443"/>
      <c r="E47" s="226">
        <f>SUM(E48:E50)</f>
        <v>17500</v>
      </c>
      <c r="F47" s="444">
        <f>E47</f>
        <v>17500</v>
      </c>
    </row>
    <row r="48" spans="1:6" ht="53.25" customHeight="1" x14ac:dyDescent="0.25">
      <c r="A48" s="441"/>
      <c r="B48" s="106" t="s">
        <v>317</v>
      </c>
      <c r="C48" s="228">
        <v>1</v>
      </c>
      <c r="D48" s="229">
        <f>6000+3000+300+200+3000</f>
        <v>12500</v>
      </c>
      <c r="E48" s="230">
        <f>C48*D48</f>
        <v>12500</v>
      </c>
      <c r="F48" s="445"/>
    </row>
    <row r="49" spans="1:6" ht="32.25" customHeight="1" x14ac:dyDescent="0.25">
      <c r="A49" s="441"/>
      <c r="B49" s="106" t="s">
        <v>356</v>
      </c>
      <c r="C49" s="307">
        <v>1</v>
      </c>
      <c r="D49" s="308">
        <v>3000</v>
      </c>
      <c r="E49" s="309">
        <f>C49*D49</f>
        <v>3000</v>
      </c>
      <c r="F49" s="445"/>
    </row>
    <row r="50" spans="1:6" ht="32.25" customHeight="1" thickBot="1" x14ac:dyDescent="0.3">
      <c r="A50" s="441"/>
      <c r="B50" s="310" t="s">
        <v>318</v>
      </c>
      <c r="C50" s="311">
        <v>1</v>
      </c>
      <c r="D50" s="312">
        <v>2000</v>
      </c>
      <c r="E50" s="313">
        <f>C50*D50</f>
        <v>2000</v>
      </c>
      <c r="F50" s="445"/>
    </row>
    <row r="51" spans="1:6" ht="51.75" thickBot="1" x14ac:dyDescent="0.3">
      <c r="A51" s="314">
        <v>4240</v>
      </c>
      <c r="B51" s="102" t="s">
        <v>319</v>
      </c>
      <c r="C51" s="315">
        <v>0</v>
      </c>
      <c r="D51" s="316">
        <v>0</v>
      </c>
      <c r="E51" s="317">
        <f>C51*D51</f>
        <v>0</v>
      </c>
      <c r="F51" s="105">
        <f>E51</f>
        <v>0</v>
      </c>
    </row>
    <row r="52" spans="1:6" x14ac:dyDescent="0.25">
      <c r="A52" s="388">
        <v>4260</v>
      </c>
      <c r="B52" s="93" t="s">
        <v>35</v>
      </c>
      <c r="C52" s="438"/>
      <c r="D52" s="439"/>
      <c r="E52" s="69">
        <f>SUM(E53:E55)</f>
        <v>92800</v>
      </c>
      <c r="F52" s="391">
        <f>E52</f>
        <v>92800</v>
      </c>
    </row>
    <row r="53" spans="1:6" ht="24.75" customHeight="1" x14ac:dyDescent="0.25">
      <c r="A53" s="389"/>
      <c r="B53" s="72" t="s">
        <v>163</v>
      </c>
      <c r="C53" s="196">
        <v>12</v>
      </c>
      <c r="D53" s="197">
        <v>1800</v>
      </c>
      <c r="E53" s="74">
        <f>ROUND(C53*D53,0)</f>
        <v>21600</v>
      </c>
      <c r="F53" s="392"/>
    </row>
    <row r="54" spans="1:6" ht="21.75" customHeight="1" x14ac:dyDescent="0.25">
      <c r="A54" s="389"/>
      <c r="B54" s="72" t="s">
        <v>164</v>
      </c>
      <c r="C54" s="196">
        <v>4</v>
      </c>
      <c r="D54" s="197">
        <f>'[1]P1 - wydatki war. 1'!D54</f>
        <v>400</v>
      </c>
      <c r="E54" s="74">
        <f>ROUND(C54*D54,0)</f>
        <v>1600</v>
      </c>
      <c r="F54" s="392"/>
    </row>
    <row r="55" spans="1:6" ht="30" customHeight="1" thickBot="1" x14ac:dyDescent="0.3">
      <c r="A55" s="390"/>
      <c r="B55" s="79" t="s">
        <v>300</v>
      </c>
      <c r="C55" s="235">
        <v>12</v>
      </c>
      <c r="D55" s="197">
        <v>5800</v>
      </c>
      <c r="E55" s="82">
        <f>ROUND(C55*D55,0)</f>
        <v>69600</v>
      </c>
      <c r="F55" s="393"/>
    </row>
    <row r="56" spans="1:6" x14ac:dyDescent="0.25">
      <c r="A56" s="388">
        <v>4270</v>
      </c>
      <c r="B56" s="67" t="s">
        <v>258</v>
      </c>
      <c r="C56" s="438"/>
      <c r="D56" s="439"/>
      <c r="E56" s="69">
        <f>SUM(E57:E61)</f>
        <v>6000</v>
      </c>
      <c r="F56" s="391">
        <f>E56</f>
        <v>6000</v>
      </c>
    </row>
    <row r="57" spans="1:6" ht="2.25" customHeight="1" x14ac:dyDescent="0.25">
      <c r="A57" s="389"/>
      <c r="B57" s="77"/>
      <c r="C57" s="196"/>
      <c r="D57" s="197"/>
      <c r="E57" s="74">
        <f t="shared" ref="E57:E62" si="3">C57*D57</f>
        <v>0</v>
      </c>
      <c r="F57" s="392"/>
    </row>
    <row r="58" spans="1:6" ht="38.25" hidden="1" customHeight="1" x14ac:dyDescent="0.25">
      <c r="A58" s="389"/>
      <c r="B58" s="77"/>
      <c r="C58" s="196"/>
      <c r="D58" s="197"/>
      <c r="E58" s="74">
        <f t="shared" si="3"/>
        <v>0</v>
      </c>
      <c r="F58" s="392"/>
    </row>
    <row r="59" spans="1:6" ht="38.25" customHeight="1" x14ac:dyDescent="0.25">
      <c r="A59" s="389"/>
      <c r="B59" s="72" t="s">
        <v>320</v>
      </c>
      <c r="C59" s="196">
        <v>1</v>
      </c>
      <c r="D59" s="197">
        <v>3000</v>
      </c>
      <c r="E59" s="74">
        <f t="shared" si="3"/>
        <v>3000</v>
      </c>
      <c r="F59" s="392"/>
    </row>
    <row r="60" spans="1:6" ht="2.25" customHeight="1" x14ac:dyDescent="0.25">
      <c r="A60" s="389"/>
      <c r="B60" s="108"/>
      <c r="C60" s="196"/>
      <c r="D60" s="197"/>
      <c r="E60" s="74">
        <f t="shared" si="3"/>
        <v>0</v>
      </c>
      <c r="F60" s="392"/>
    </row>
    <row r="61" spans="1:6" ht="38.25" customHeight="1" thickBot="1" x14ac:dyDescent="0.3">
      <c r="A61" s="390"/>
      <c r="B61" s="79" t="s">
        <v>259</v>
      </c>
      <c r="C61" s="201">
        <v>1</v>
      </c>
      <c r="D61" s="202">
        <v>3000</v>
      </c>
      <c r="E61" s="82">
        <f t="shared" si="3"/>
        <v>3000</v>
      </c>
      <c r="F61" s="393"/>
    </row>
    <row r="62" spans="1:6" ht="15.75" thickBot="1" x14ac:dyDescent="0.3">
      <c r="A62" s="66">
        <v>4280</v>
      </c>
      <c r="B62" s="93" t="s">
        <v>36</v>
      </c>
      <c r="C62" s="194">
        <v>1</v>
      </c>
      <c r="D62" s="195">
        <v>1350</v>
      </c>
      <c r="E62" s="69">
        <f t="shared" si="3"/>
        <v>1350</v>
      </c>
      <c r="F62" s="70">
        <f>E62</f>
        <v>1350</v>
      </c>
    </row>
    <row r="63" spans="1:6" x14ac:dyDescent="0.25">
      <c r="A63" s="388">
        <v>4300</v>
      </c>
      <c r="B63" s="67" t="s">
        <v>37</v>
      </c>
      <c r="C63" s="438"/>
      <c r="D63" s="439"/>
      <c r="E63" s="59">
        <f>SUM(E64:E78)</f>
        <v>23830</v>
      </c>
      <c r="F63" s="391">
        <f>E63</f>
        <v>23830</v>
      </c>
    </row>
    <row r="64" spans="1:6" ht="21.75" customHeight="1" x14ac:dyDescent="0.25">
      <c r="A64" s="389"/>
      <c r="B64" s="72" t="s">
        <v>321</v>
      </c>
      <c r="C64" s="196">
        <v>12</v>
      </c>
      <c r="D64" s="197">
        <f>'[1]P1 - wydatki war. 1'!D64</f>
        <v>120</v>
      </c>
      <c r="E64" s="74">
        <f>C64*D64</f>
        <v>1440</v>
      </c>
      <c r="F64" s="392"/>
    </row>
    <row r="65" spans="1:6" ht="21.75" customHeight="1" x14ac:dyDescent="0.25">
      <c r="A65" s="389"/>
      <c r="B65" s="72" t="s">
        <v>166</v>
      </c>
      <c r="C65" s="196">
        <v>12</v>
      </c>
      <c r="D65" s="197">
        <f>'[1]P1 - wydatki war. 1'!D65</f>
        <v>150</v>
      </c>
      <c r="E65" s="74">
        <f t="shared" ref="E65:E79" si="4">C65*D65</f>
        <v>1800</v>
      </c>
      <c r="F65" s="392"/>
    </row>
    <row r="66" spans="1:6" ht="21.75" customHeight="1" x14ac:dyDescent="0.25">
      <c r="A66" s="389"/>
      <c r="B66" s="72" t="s">
        <v>167</v>
      </c>
      <c r="C66" s="196">
        <v>12</v>
      </c>
      <c r="D66" s="197">
        <f>'[1]P1 - wydatki war. 1'!D66</f>
        <v>127</v>
      </c>
      <c r="E66" s="74">
        <f t="shared" si="4"/>
        <v>1524</v>
      </c>
      <c r="F66" s="392"/>
    </row>
    <row r="67" spans="1:6" ht="21.75" customHeight="1" x14ac:dyDescent="0.25">
      <c r="A67" s="389"/>
      <c r="B67" s="72" t="s">
        <v>322</v>
      </c>
      <c r="C67" s="196">
        <v>12</v>
      </c>
      <c r="D67" s="197">
        <v>265</v>
      </c>
      <c r="E67" s="74">
        <f t="shared" si="4"/>
        <v>3180</v>
      </c>
      <c r="F67" s="392"/>
    </row>
    <row r="68" spans="1:6" ht="21.75" customHeight="1" x14ac:dyDescent="0.25">
      <c r="A68" s="389"/>
      <c r="B68" s="72" t="s">
        <v>323</v>
      </c>
      <c r="C68" s="196">
        <v>12</v>
      </c>
      <c r="D68" s="197">
        <v>110</v>
      </c>
      <c r="E68" s="74">
        <f>ROUND(C68*D68,0)</f>
        <v>1320</v>
      </c>
      <c r="F68" s="392"/>
    </row>
    <row r="69" spans="1:6" ht="21.75" customHeight="1" x14ac:dyDescent="0.25">
      <c r="A69" s="389"/>
      <c r="B69" s="72" t="s">
        <v>169</v>
      </c>
      <c r="C69" s="196">
        <v>4</v>
      </c>
      <c r="D69" s="197">
        <v>650</v>
      </c>
      <c r="E69" s="74">
        <f t="shared" si="4"/>
        <v>2600</v>
      </c>
      <c r="F69" s="392"/>
    </row>
    <row r="70" spans="1:6" ht="21.75" customHeight="1" x14ac:dyDescent="0.25">
      <c r="A70" s="389"/>
      <c r="B70" s="72" t="s">
        <v>324</v>
      </c>
      <c r="C70" s="196">
        <v>2</v>
      </c>
      <c r="D70" s="197">
        <f>'[1]P1 - wydatki war. 1'!D70</f>
        <v>300</v>
      </c>
      <c r="E70" s="74">
        <f t="shared" si="4"/>
        <v>600</v>
      </c>
      <c r="F70" s="392"/>
    </row>
    <row r="71" spans="1:6" ht="21.75" customHeight="1" x14ac:dyDescent="0.25">
      <c r="A71" s="389"/>
      <c r="B71" s="72" t="s">
        <v>325</v>
      </c>
      <c r="C71" s="196">
        <v>1</v>
      </c>
      <c r="D71" s="197">
        <f>'[1]P1 - wydatki war. 1'!D71</f>
        <v>260</v>
      </c>
      <c r="E71" s="74">
        <f t="shared" si="4"/>
        <v>260</v>
      </c>
      <c r="F71" s="392"/>
    </row>
    <row r="72" spans="1:6" ht="21.75" customHeight="1" x14ac:dyDescent="0.25">
      <c r="A72" s="389"/>
      <c r="B72" s="72" t="s">
        <v>326</v>
      </c>
      <c r="C72" s="196">
        <v>1</v>
      </c>
      <c r="D72" s="197">
        <f>'[1]P1 - wydatki war. 1'!D72</f>
        <v>0</v>
      </c>
      <c r="E72" s="74">
        <f t="shared" si="4"/>
        <v>0</v>
      </c>
      <c r="F72" s="392"/>
    </row>
    <row r="73" spans="1:6" ht="21.75" customHeight="1" x14ac:dyDescent="0.25">
      <c r="A73" s="389"/>
      <c r="B73" s="72" t="s">
        <v>327</v>
      </c>
      <c r="C73" s="196">
        <v>1</v>
      </c>
      <c r="D73" s="197">
        <v>1200</v>
      </c>
      <c r="E73" s="74">
        <f t="shared" si="4"/>
        <v>1200</v>
      </c>
      <c r="F73" s="392"/>
    </row>
    <row r="74" spans="1:6" ht="21.75" customHeight="1" x14ac:dyDescent="0.25">
      <c r="A74" s="389"/>
      <c r="B74" s="72" t="s">
        <v>328</v>
      </c>
      <c r="C74" s="196">
        <v>1</v>
      </c>
      <c r="D74" s="197">
        <v>300</v>
      </c>
      <c r="E74" s="92">
        <f t="shared" si="4"/>
        <v>300</v>
      </c>
      <c r="F74" s="392"/>
    </row>
    <row r="75" spans="1:6" ht="21.75" customHeight="1" x14ac:dyDescent="0.25">
      <c r="A75" s="389"/>
      <c r="B75" s="72" t="s">
        <v>329</v>
      </c>
      <c r="C75" s="196">
        <v>10</v>
      </c>
      <c r="D75" s="197">
        <f>'[1]P1 - wydatki war. 1'!D75</f>
        <v>840</v>
      </c>
      <c r="E75" s="74">
        <f t="shared" si="4"/>
        <v>8400</v>
      </c>
      <c r="F75" s="392"/>
    </row>
    <row r="76" spans="1:6" ht="21.75" customHeight="1" x14ac:dyDescent="0.25">
      <c r="A76" s="389"/>
      <c r="B76" s="72" t="s">
        <v>330</v>
      </c>
      <c r="C76" s="196">
        <v>1</v>
      </c>
      <c r="D76" s="197">
        <f>'[1]P1 - wydatki war. 1'!D76</f>
        <v>87</v>
      </c>
      <c r="E76" s="74">
        <f t="shared" si="4"/>
        <v>87</v>
      </c>
      <c r="F76" s="392"/>
    </row>
    <row r="77" spans="1:6" ht="21.75" customHeight="1" x14ac:dyDescent="0.25">
      <c r="A77" s="389"/>
      <c r="B77" s="72" t="s">
        <v>331</v>
      </c>
      <c r="C77" s="196">
        <v>1</v>
      </c>
      <c r="D77" s="197">
        <f>'[1]P1 - wydatki war. 1'!D77</f>
        <v>119</v>
      </c>
      <c r="E77" s="74">
        <f t="shared" si="4"/>
        <v>119</v>
      </c>
      <c r="F77" s="392"/>
    </row>
    <row r="78" spans="1:6" ht="31.5" customHeight="1" thickBot="1" x14ac:dyDescent="0.3">
      <c r="A78" s="390"/>
      <c r="B78" s="90" t="s">
        <v>332</v>
      </c>
      <c r="C78" s="201">
        <v>1</v>
      </c>
      <c r="D78" s="197">
        <f>'[1]P1 - wydatki war. 1'!D78</f>
        <v>1000</v>
      </c>
      <c r="E78" s="81">
        <f t="shared" si="4"/>
        <v>1000</v>
      </c>
      <c r="F78" s="393"/>
    </row>
    <row r="79" spans="1:6" ht="33.75" customHeight="1" thickBot="1" x14ac:dyDescent="0.3">
      <c r="A79" s="101">
        <v>4360</v>
      </c>
      <c r="B79" s="102" t="s">
        <v>171</v>
      </c>
      <c r="C79" s="220">
        <v>12</v>
      </c>
      <c r="D79" s="221">
        <v>80</v>
      </c>
      <c r="E79" s="104">
        <f t="shared" si="4"/>
        <v>960</v>
      </c>
      <c r="F79" s="105">
        <f t="shared" ref="F79:F84" si="5">E79</f>
        <v>960</v>
      </c>
    </row>
    <row r="80" spans="1:6" ht="36.75" customHeight="1" thickBot="1" x14ac:dyDescent="0.3">
      <c r="A80" s="101">
        <v>4410</v>
      </c>
      <c r="B80" s="102" t="s">
        <v>333</v>
      </c>
      <c r="C80" s="220">
        <v>1</v>
      </c>
      <c r="D80" s="221">
        <v>200</v>
      </c>
      <c r="E80" s="104">
        <f>C80*D80</f>
        <v>200</v>
      </c>
      <c r="F80" s="105">
        <f t="shared" si="5"/>
        <v>200</v>
      </c>
    </row>
    <row r="81" spans="1:6" ht="38.25" customHeight="1" thickBot="1" x14ac:dyDescent="0.3">
      <c r="A81" s="101">
        <v>4430</v>
      </c>
      <c r="B81" s="102" t="s">
        <v>334</v>
      </c>
      <c r="C81" s="220">
        <v>2</v>
      </c>
      <c r="D81" s="221">
        <v>400</v>
      </c>
      <c r="E81" s="104">
        <f>C81*D81</f>
        <v>800</v>
      </c>
      <c r="F81" s="105">
        <f t="shared" si="5"/>
        <v>800</v>
      </c>
    </row>
    <row r="82" spans="1:6" ht="15.75" thickBot="1" x14ac:dyDescent="0.3">
      <c r="A82" s="218">
        <v>4440</v>
      </c>
      <c r="B82" s="318" t="s">
        <v>173</v>
      </c>
      <c r="C82" s="194">
        <v>1</v>
      </c>
      <c r="D82" s="195">
        <v>71000</v>
      </c>
      <c r="E82" s="69">
        <f>D82*C82</f>
        <v>71000</v>
      </c>
      <c r="F82" s="70">
        <f t="shared" si="5"/>
        <v>71000</v>
      </c>
    </row>
    <row r="83" spans="1:6" ht="48.75" customHeight="1" thickBot="1" x14ac:dyDescent="0.3">
      <c r="A83" s="319">
        <v>4700</v>
      </c>
      <c r="B83" s="320" t="s">
        <v>174</v>
      </c>
      <c r="C83" s="220">
        <v>1</v>
      </c>
      <c r="D83" s="221">
        <v>2300</v>
      </c>
      <c r="E83" s="104">
        <f>D83*C83</f>
        <v>2300</v>
      </c>
      <c r="F83" s="105">
        <f t="shared" si="5"/>
        <v>2300</v>
      </c>
    </row>
    <row r="84" spans="1:6" ht="49.5" customHeight="1" x14ac:dyDescent="0.25">
      <c r="A84" s="388">
        <v>4710</v>
      </c>
      <c r="B84" s="223" t="s">
        <v>38</v>
      </c>
      <c r="C84" s="194"/>
      <c r="D84" s="195"/>
      <c r="E84" s="69">
        <f>SUM(E85:E90)</f>
        <v>3805</v>
      </c>
      <c r="F84" s="391">
        <f t="shared" si="5"/>
        <v>3805</v>
      </c>
    </row>
    <row r="85" spans="1:6" x14ac:dyDescent="0.25">
      <c r="A85" s="389"/>
      <c r="B85" s="106" t="s">
        <v>335</v>
      </c>
      <c r="C85" s="196">
        <v>12</v>
      </c>
      <c r="D85" s="197">
        <v>20</v>
      </c>
      <c r="E85" s="185">
        <f t="shared" ref="E85:E90" si="6">C85*D85</f>
        <v>240</v>
      </c>
      <c r="F85" s="392"/>
    </row>
    <row r="86" spans="1:6" ht="26.25" customHeight="1" x14ac:dyDescent="0.25">
      <c r="A86" s="389"/>
      <c r="B86" s="106" t="s">
        <v>336</v>
      </c>
      <c r="C86" s="196">
        <v>12</v>
      </c>
      <c r="D86" s="197">
        <v>210</v>
      </c>
      <c r="E86" s="185">
        <f t="shared" si="6"/>
        <v>2520</v>
      </c>
      <c r="F86" s="392"/>
    </row>
    <row r="87" spans="1:6" ht="26.25" customHeight="1" x14ac:dyDescent="0.25">
      <c r="A87" s="389"/>
      <c r="B87" s="106" t="s">
        <v>184</v>
      </c>
      <c r="C87" s="196">
        <v>12</v>
      </c>
      <c r="D87" s="197">
        <v>50</v>
      </c>
      <c r="E87" s="185">
        <f t="shared" si="6"/>
        <v>600</v>
      </c>
      <c r="F87" s="392"/>
    </row>
    <row r="88" spans="1:6" ht="26.25" customHeight="1" x14ac:dyDescent="0.25">
      <c r="A88" s="389"/>
      <c r="B88" s="106" t="s">
        <v>185</v>
      </c>
      <c r="C88" s="196">
        <v>1</v>
      </c>
      <c r="D88" s="197">
        <v>100</v>
      </c>
      <c r="E88" s="185">
        <f>ROUND(C88*D88,0)</f>
        <v>100</v>
      </c>
      <c r="F88" s="392"/>
    </row>
    <row r="89" spans="1:6" ht="26.25" customHeight="1" x14ac:dyDescent="0.25">
      <c r="A89" s="389"/>
      <c r="B89" s="106" t="s">
        <v>183</v>
      </c>
      <c r="C89" s="196">
        <v>1</v>
      </c>
      <c r="D89" s="197">
        <v>45</v>
      </c>
      <c r="E89" s="185">
        <f t="shared" si="6"/>
        <v>45</v>
      </c>
      <c r="F89" s="392"/>
    </row>
    <row r="90" spans="1:6" ht="26.25" customHeight="1" thickBot="1" x14ac:dyDescent="0.3">
      <c r="A90" s="390"/>
      <c r="B90" s="241" t="s">
        <v>337</v>
      </c>
      <c r="C90" s="201">
        <v>1</v>
      </c>
      <c r="D90" s="202">
        <v>300</v>
      </c>
      <c r="E90" s="321">
        <f t="shared" si="6"/>
        <v>300</v>
      </c>
      <c r="F90" s="393"/>
    </row>
    <row r="91" spans="1:6" ht="30" customHeight="1" x14ac:dyDescent="0.25">
      <c r="A91" s="388">
        <v>4790</v>
      </c>
      <c r="B91" s="118" t="s">
        <v>39</v>
      </c>
      <c r="C91" s="438"/>
      <c r="D91" s="439"/>
      <c r="E91" s="59">
        <f>SUM(E92:E99)</f>
        <v>745190</v>
      </c>
      <c r="F91" s="424">
        <f>E91</f>
        <v>745190</v>
      </c>
    </row>
    <row r="92" spans="1:6" x14ac:dyDescent="0.25">
      <c r="A92" s="389"/>
      <c r="B92" s="119" t="s">
        <v>182</v>
      </c>
      <c r="C92" s="196">
        <v>12</v>
      </c>
      <c r="D92" s="197">
        <v>46018.06</v>
      </c>
      <c r="E92" s="117">
        <f>ROUND((C92*D92),0)</f>
        <v>552217</v>
      </c>
      <c r="F92" s="426"/>
    </row>
    <row r="93" spans="1:6" x14ac:dyDescent="0.25">
      <c r="A93" s="389"/>
      <c r="B93" s="119" t="s">
        <v>221</v>
      </c>
      <c r="C93" s="208">
        <v>0.01</v>
      </c>
      <c r="D93" s="209">
        <f>E92+E94+E98+E99</f>
        <v>721079</v>
      </c>
      <c r="E93" s="117">
        <f>ROUND(C93*D93,0)</f>
        <v>7211</v>
      </c>
      <c r="F93" s="426"/>
    </row>
    <row r="94" spans="1:6" x14ac:dyDescent="0.25">
      <c r="A94" s="389"/>
      <c r="B94" s="119" t="s">
        <v>184</v>
      </c>
      <c r="C94" s="196">
        <v>12</v>
      </c>
      <c r="D94" s="197">
        <v>5500</v>
      </c>
      <c r="E94" s="117">
        <f t="shared" ref="E94:E99" si="7">ROUND((C94*D94),0)</f>
        <v>66000</v>
      </c>
      <c r="F94" s="426"/>
    </row>
    <row r="95" spans="1:6" x14ac:dyDescent="0.25">
      <c r="A95" s="389"/>
      <c r="B95" s="72"/>
      <c r="C95" s="196"/>
      <c r="D95" s="197"/>
      <c r="E95" s="117">
        <f t="shared" si="7"/>
        <v>0</v>
      </c>
      <c r="F95" s="426"/>
    </row>
    <row r="96" spans="1:6" x14ac:dyDescent="0.25">
      <c r="A96" s="389"/>
      <c r="B96" s="72"/>
      <c r="C96" s="196"/>
      <c r="D96" s="197"/>
      <c r="E96" s="117">
        <f t="shared" si="7"/>
        <v>0</v>
      </c>
      <c r="F96" s="426"/>
    </row>
    <row r="97" spans="1:6" ht="30" customHeight="1" x14ac:dyDescent="0.25">
      <c r="A97" s="389"/>
      <c r="B97" s="72" t="s">
        <v>185</v>
      </c>
      <c r="C97" s="196">
        <v>1</v>
      </c>
      <c r="D97" s="197">
        <v>16900</v>
      </c>
      <c r="E97" s="117">
        <f t="shared" si="7"/>
        <v>16900</v>
      </c>
      <c r="F97" s="426"/>
    </row>
    <row r="98" spans="1:6" x14ac:dyDescent="0.25">
      <c r="A98" s="389"/>
      <c r="B98" s="119" t="s">
        <v>202</v>
      </c>
      <c r="C98" s="196">
        <v>1</v>
      </c>
      <c r="D98" s="197">
        <v>47400</v>
      </c>
      <c r="E98" s="117">
        <f t="shared" si="7"/>
        <v>47400</v>
      </c>
      <c r="F98" s="426"/>
    </row>
    <row r="99" spans="1:6" ht="15.75" thickBot="1" x14ac:dyDescent="0.3">
      <c r="A99" s="390"/>
      <c r="B99" s="242" t="s">
        <v>209</v>
      </c>
      <c r="C99" s="235">
        <v>1</v>
      </c>
      <c r="D99" s="236">
        <v>55462</v>
      </c>
      <c r="E99" s="117">
        <f t="shared" si="7"/>
        <v>55462</v>
      </c>
      <c r="F99" s="427"/>
    </row>
    <row r="100" spans="1:6" ht="27.75" customHeight="1" thickBot="1" x14ac:dyDescent="0.3">
      <c r="A100" s="101">
        <v>4800</v>
      </c>
      <c r="B100" s="115" t="s">
        <v>101</v>
      </c>
      <c r="C100" s="220">
        <v>1</v>
      </c>
      <c r="D100" s="221">
        <v>45100</v>
      </c>
      <c r="E100" s="104">
        <f>C100*D100</f>
        <v>45100</v>
      </c>
      <c r="F100" s="105">
        <f>E100</f>
        <v>45100</v>
      </c>
    </row>
    <row r="101" spans="1:6" ht="15.75" thickBot="1" x14ac:dyDescent="0.3">
      <c r="A101" s="435"/>
      <c r="B101" s="436"/>
      <c r="C101" s="436"/>
      <c r="D101" s="436"/>
      <c r="E101" s="436"/>
      <c r="F101" s="437"/>
    </row>
    <row r="102" spans="1:6" ht="45" customHeight="1" thickBot="1" x14ac:dyDescent="0.3">
      <c r="A102" s="322">
        <v>801</v>
      </c>
      <c r="B102" s="323" t="s">
        <v>204</v>
      </c>
      <c r="C102" s="324"/>
      <c r="D102" s="325"/>
      <c r="E102" s="326">
        <f>SUM(E103:E104)</f>
        <v>6574</v>
      </c>
      <c r="F102" s="327">
        <f>SUM(F103:F104)</f>
        <v>6574</v>
      </c>
    </row>
    <row r="103" spans="1:6" ht="39" customHeight="1" thickBot="1" x14ac:dyDescent="0.3">
      <c r="A103" s="101">
        <v>4300</v>
      </c>
      <c r="B103" s="102" t="s">
        <v>37</v>
      </c>
      <c r="C103" s="220">
        <v>1</v>
      </c>
      <c r="D103" s="221">
        <v>2000</v>
      </c>
      <c r="E103" s="104">
        <f>C103*D103</f>
        <v>2000</v>
      </c>
      <c r="F103" s="105">
        <f>E103</f>
        <v>2000</v>
      </c>
    </row>
    <row r="104" spans="1:6" ht="39.75" customHeight="1" thickBot="1" x14ac:dyDescent="0.3">
      <c r="A104" s="101">
        <v>4700</v>
      </c>
      <c r="B104" s="102" t="s">
        <v>174</v>
      </c>
      <c r="C104" s="220">
        <v>1</v>
      </c>
      <c r="D104" s="221">
        <f>0.8%*(E92+E93+E94+E97+E98+E99+E163+E167)-D103</f>
        <v>4573.9040000000005</v>
      </c>
      <c r="E104" s="104">
        <f>ROUND(C104*D104,0)</f>
        <v>4574</v>
      </c>
      <c r="F104" s="105">
        <f>E104</f>
        <v>4574</v>
      </c>
    </row>
    <row r="105" spans="1:6" ht="15.75" thickBot="1" x14ac:dyDescent="0.3">
      <c r="A105" s="435"/>
      <c r="B105" s="436"/>
      <c r="C105" s="436"/>
      <c r="D105" s="436"/>
      <c r="E105" s="436"/>
      <c r="F105" s="437"/>
    </row>
    <row r="106" spans="1:6" ht="57.75" customHeight="1" thickBot="1" x14ac:dyDescent="0.3">
      <c r="A106" s="328">
        <v>801</v>
      </c>
      <c r="B106" s="329" t="s">
        <v>205</v>
      </c>
      <c r="C106" s="330"/>
      <c r="D106" s="331"/>
      <c r="E106" s="332">
        <f>SUM(E107+E114+E115+E120+E125+E130+E132+E131)</f>
        <v>548241.12</v>
      </c>
      <c r="F106" s="333">
        <f>SUM(F107:F132)</f>
        <v>548241.12</v>
      </c>
    </row>
    <row r="107" spans="1:6" ht="41.25" customHeight="1" x14ac:dyDescent="0.25">
      <c r="A107" s="388">
        <v>4010</v>
      </c>
      <c r="B107" s="155" t="s">
        <v>206</v>
      </c>
      <c r="C107" s="203"/>
      <c r="D107" s="204"/>
      <c r="E107" s="59">
        <f>SUM(E108:E113)</f>
        <v>344263.12</v>
      </c>
      <c r="F107" s="391">
        <f>E107</f>
        <v>344263.12</v>
      </c>
    </row>
    <row r="108" spans="1:6" ht="18" customHeight="1" x14ac:dyDescent="0.25">
      <c r="A108" s="389"/>
      <c r="B108" s="106" t="s">
        <v>338</v>
      </c>
      <c r="C108" s="196">
        <v>12</v>
      </c>
      <c r="D108" s="197">
        <v>19670.259999999998</v>
      </c>
      <c r="E108" s="74">
        <f t="shared" ref="E108:E110" si="8">C108*D108</f>
        <v>236043.12</v>
      </c>
      <c r="F108" s="392"/>
    </row>
    <row r="109" spans="1:6" ht="18" customHeight="1" x14ac:dyDescent="0.25">
      <c r="A109" s="389"/>
      <c r="B109" s="106" t="s">
        <v>339</v>
      </c>
      <c r="C109" s="196">
        <v>1</v>
      </c>
      <c r="D109" s="197">
        <v>27000</v>
      </c>
      <c r="E109" s="74">
        <f t="shared" si="8"/>
        <v>27000</v>
      </c>
      <c r="F109" s="392"/>
    </row>
    <row r="110" spans="1:6" ht="18" customHeight="1" x14ac:dyDescent="0.25">
      <c r="A110" s="389"/>
      <c r="B110" s="106" t="s">
        <v>143</v>
      </c>
      <c r="C110" s="196">
        <v>1</v>
      </c>
      <c r="D110" s="197">
        <v>81220</v>
      </c>
      <c r="E110" s="74">
        <f t="shared" si="8"/>
        <v>81220</v>
      </c>
      <c r="F110" s="392"/>
    </row>
    <row r="111" spans="1:6" ht="18" customHeight="1" x14ac:dyDescent="0.25">
      <c r="A111" s="389"/>
      <c r="B111" s="106" t="s">
        <v>183</v>
      </c>
      <c r="C111" s="334">
        <v>0</v>
      </c>
      <c r="D111" s="335">
        <f>SUM(E108:E110)</f>
        <v>344263.12</v>
      </c>
      <c r="E111" s="74">
        <f>ROUND(C111*D111,0)</f>
        <v>0</v>
      </c>
      <c r="F111" s="392"/>
    </row>
    <row r="112" spans="1:6" ht="18" customHeight="1" x14ac:dyDescent="0.25">
      <c r="A112" s="389"/>
      <c r="B112" s="336"/>
      <c r="E112" s="337">
        <f>ROUND(C113*D113,0)</f>
        <v>0</v>
      </c>
      <c r="F112" s="392"/>
    </row>
    <row r="113" spans="1:6" ht="18" customHeight="1" thickBot="1" x14ac:dyDescent="0.3">
      <c r="A113" s="390"/>
      <c r="B113" s="338"/>
      <c r="C113" s="196"/>
      <c r="D113" s="197"/>
      <c r="E113" s="339"/>
      <c r="F113" s="393"/>
    </row>
    <row r="114" spans="1:6" ht="15.75" thickBot="1" x14ac:dyDescent="0.3">
      <c r="A114" s="71">
        <v>4040</v>
      </c>
      <c r="B114" s="112" t="s">
        <v>40</v>
      </c>
      <c r="C114" s="211">
        <v>1</v>
      </c>
      <c r="D114" s="212">
        <v>13700</v>
      </c>
      <c r="E114" s="114">
        <f>C114*D114</f>
        <v>13700</v>
      </c>
      <c r="F114" s="75">
        <f>E114</f>
        <v>13700</v>
      </c>
    </row>
    <row r="115" spans="1:6" ht="21.75" customHeight="1" x14ac:dyDescent="0.25">
      <c r="A115" s="388">
        <v>4110</v>
      </c>
      <c r="B115" s="67" t="s">
        <v>124</v>
      </c>
      <c r="C115" s="203"/>
      <c r="D115" s="204"/>
      <c r="E115" s="59">
        <f>SUM(E116:E119)</f>
        <v>68659</v>
      </c>
      <c r="F115" s="391">
        <f>E115</f>
        <v>68659</v>
      </c>
    </row>
    <row r="116" spans="1:6" ht="21.75" customHeight="1" x14ac:dyDescent="0.25">
      <c r="A116" s="389"/>
      <c r="B116" s="72" t="s">
        <v>340</v>
      </c>
      <c r="C116" s="196">
        <v>12</v>
      </c>
      <c r="D116" s="340">
        <v>5721.61</v>
      </c>
      <c r="E116" s="74">
        <f>ROUND(C116*D116,0)</f>
        <v>68659</v>
      </c>
      <c r="F116" s="392"/>
    </row>
    <row r="117" spans="1:6" ht="21.75" customHeight="1" x14ac:dyDescent="0.25">
      <c r="A117" s="389"/>
      <c r="B117" s="72" t="s">
        <v>211</v>
      </c>
      <c r="C117" s="196">
        <v>1</v>
      </c>
      <c r="D117" s="340">
        <f>E111*H1</f>
        <v>0</v>
      </c>
      <c r="E117" s="74">
        <f>ROUND(C117*D117,0)</f>
        <v>0</v>
      </c>
      <c r="F117" s="392"/>
    </row>
    <row r="118" spans="1:6" ht="21.75" customHeight="1" x14ac:dyDescent="0.25">
      <c r="A118" s="389"/>
      <c r="B118" s="336"/>
      <c r="C118" s="341">
        <v>1</v>
      </c>
      <c r="D118" s="342"/>
      <c r="E118" s="74">
        <f>ROUND(C118*D118,0)</f>
        <v>0</v>
      </c>
      <c r="F118" s="392"/>
    </row>
    <row r="119" spans="1:6" ht="21.75" customHeight="1" thickBot="1" x14ac:dyDescent="0.3">
      <c r="A119" s="390"/>
      <c r="B119" s="77" t="s">
        <v>341</v>
      </c>
      <c r="C119" s="341">
        <v>1</v>
      </c>
      <c r="D119" s="343">
        <f>D114*H1</f>
        <v>0</v>
      </c>
      <c r="E119" s="74">
        <f>ROUND(C119*D119,0)</f>
        <v>0</v>
      </c>
      <c r="F119" s="393"/>
    </row>
    <row r="120" spans="1:6" ht="27.75" customHeight="1" x14ac:dyDescent="0.25">
      <c r="A120" s="388">
        <v>4120</v>
      </c>
      <c r="B120" s="67" t="s">
        <v>152</v>
      </c>
      <c r="C120" s="203"/>
      <c r="D120" s="204"/>
      <c r="E120" s="59">
        <f>SUM(E121:E124)</f>
        <v>6119</v>
      </c>
      <c r="F120" s="391">
        <f>E120</f>
        <v>6119</v>
      </c>
    </row>
    <row r="121" spans="1:6" ht="28.5" customHeight="1" x14ac:dyDescent="0.25">
      <c r="A121" s="389"/>
      <c r="B121" s="72" t="s">
        <v>342</v>
      </c>
      <c r="C121" s="196">
        <v>12</v>
      </c>
      <c r="D121" s="340">
        <v>815.47</v>
      </c>
      <c r="E121" s="74">
        <f>ROUND(E108*2.45%,0)</f>
        <v>5783</v>
      </c>
      <c r="F121" s="392"/>
    </row>
    <row r="122" spans="1:6" ht="28.5" customHeight="1" x14ac:dyDescent="0.25">
      <c r="A122" s="389"/>
      <c r="B122" s="72" t="s">
        <v>343</v>
      </c>
      <c r="C122" s="196">
        <v>1</v>
      </c>
      <c r="D122" s="340">
        <f>E111*H3</f>
        <v>0</v>
      </c>
      <c r="E122" s="74">
        <f>ROUND(C122*D122,0)</f>
        <v>0</v>
      </c>
      <c r="F122" s="392"/>
    </row>
    <row r="123" spans="1:6" ht="28.5" customHeight="1" x14ac:dyDescent="0.25">
      <c r="A123" s="389"/>
      <c r="B123" s="72"/>
      <c r="C123" s="196"/>
      <c r="D123" s="238"/>
      <c r="E123" s="74">
        <f>C123*D123</f>
        <v>0</v>
      </c>
      <c r="F123" s="392"/>
    </row>
    <row r="124" spans="1:6" ht="28.5" customHeight="1" thickBot="1" x14ac:dyDescent="0.3">
      <c r="A124" s="389"/>
      <c r="B124" s="77" t="s">
        <v>344</v>
      </c>
      <c r="C124" s="196">
        <v>1</v>
      </c>
      <c r="D124" s="340">
        <v>735</v>
      </c>
      <c r="E124" s="74">
        <f>ROUND(E114*2.45%,0)</f>
        <v>336</v>
      </c>
      <c r="F124" s="392"/>
    </row>
    <row r="125" spans="1:6" x14ac:dyDescent="0.25">
      <c r="A125" s="388">
        <v>4210</v>
      </c>
      <c r="B125" s="93" t="s">
        <v>160</v>
      </c>
      <c r="C125" s="194"/>
      <c r="D125" s="195"/>
      <c r="E125" s="69">
        <f>SUM(E126:E129)</f>
        <v>5000</v>
      </c>
      <c r="F125" s="391">
        <f>E125</f>
        <v>5000</v>
      </c>
    </row>
    <row r="126" spans="1:6" ht="34.5" customHeight="1" x14ac:dyDescent="0.25">
      <c r="A126" s="389"/>
      <c r="B126" s="72" t="s">
        <v>345</v>
      </c>
      <c r="C126" s="196">
        <v>1</v>
      </c>
      <c r="D126" s="197">
        <v>2000</v>
      </c>
      <c r="E126" s="185">
        <f t="shared" ref="E126:E132" si="9">C126*D126</f>
        <v>2000</v>
      </c>
      <c r="F126" s="392"/>
    </row>
    <row r="127" spans="1:6" ht="34.5" customHeight="1" x14ac:dyDescent="0.25">
      <c r="A127" s="389"/>
      <c r="B127" s="72" t="s">
        <v>346</v>
      </c>
      <c r="C127" s="196">
        <v>1</v>
      </c>
      <c r="D127" s="197">
        <v>3000</v>
      </c>
      <c r="E127" s="185">
        <f t="shared" si="9"/>
        <v>3000</v>
      </c>
      <c r="F127" s="392"/>
    </row>
    <row r="128" spans="1:6" ht="15.75" customHeight="1" x14ac:dyDescent="0.25">
      <c r="A128" s="389"/>
      <c r="B128" s="72"/>
      <c r="C128" s="196"/>
      <c r="D128" s="197"/>
      <c r="E128" s="185">
        <f t="shared" si="9"/>
        <v>0</v>
      </c>
      <c r="F128" s="392"/>
    </row>
    <row r="129" spans="1:6" ht="14.25" customHeight="1" thickBot="1" x14ac:dyDescent="0.3">
      <c r="A129" s="390"/>
      <c r="B129" s="90"/>
      <c r="C129" s="201"/>
      <c r="D129" s="202"/>
      <c r="E129" s="111">
        <f t="shared" si="9"/>
        <v>0</v>
      </c>
      <c r="F129" s="393"/>
    </row>
    <row r="130" spans="1:6" ht="37.5" customHeight="1" thickBot="1" x14ac:dyDescent="0.3">
      <c r="A130" s="101">
        <v>4220</v>
      </c>
      <c r="B130" s="102" t="s">
        <v>41</v>
      </c>
      <c r="C130" s="220">
        <v>1</v>
      </c>
      <c r="D130" s="221">
        <v>98000</v>
      </c>
      <c r="E130" s="104">
        <f t="shared" si="9"/>
        <v>98000</v>
      </c>
      <c r="F130" s="105">
        <f>E130</f>
        <v>98000</v>
      </c>
    </row>
    <row r="131" spans="1:6" ht="35.25" customHeight="1" thickBot="1" x14ac:dyDescent="0.3">
      <c r="A131" s="78">
        <v>4280</v>
      </c>
      <c r="B131" s="154" t="s">
        <v>36</v>
      </c>
      <c r="C131" s="201">
        <v>1</v>
      </c>
      <c r="D131" s="202">
        <v>0</v>
      </c>
      <c r="E131" s="124">
        <f t="shared" si="9"/>
        <v>0</v>
      </c>
      <c r="F131" s="83">
        <f>E131</f>
        <v>0</v>
      </c>
    </row>
    <row r="132" spans="1:6" x14ac:dyDescent="0.25">
      <c r="A132" s="272">
        <v>4440</v>
      </c>
      <c r="B132" s="84" t="s">
        <v>173</v>
      </c>
      <c r="C132" s="344">
        <v>1</v>
      </c>
      <c r="D132" s="342">
        <v>12500</v>
      </c>
      <c r="E132" s="87">
        <f t="shared" si="9"/>
        <v>12500</v>
      </c>
      <c r="F132" s="287">
        <f>E132</f>
        <v>12500</v>
      </c>
    </row>
    <row r="133" spans="1:6" ht="15.75" thickBot="1" x14ac:dyDescent="0.3">
      <c r="A133" s="432"/>
      <c r="B133" s="433"/>
      <c r="C133" s="433"/>
      <c r="D133" s="433"/>
      <c r="E133" s="433"/>
      <c r="F133" s="434"/>
    </row>
    <row r="134" spans="1:6" ht="108.75" customHeight="1" thickBot="1" x14ac:dyDescent="0.3">
      <c r="A134" s="322">
        <v>801</v>
      </c>
      <c r="B134" s="323" t="s">
        <v>271</v>
      </c>
      <c r="C134" s="324"/>
      <c r="D134" s="325"/>
      <c r="E134" s="326">
        <f>SUM(E135+E140+E141+E147+E153+E154+E155+E157+E156+E162)</f>
        <v>192753</v>
      </c>
      <c r="F134" s="327">
        <f>SUM(F135:F162)</f>
        <v>192753</v>
      </c>
    </row>
    <row r="135" spans="1:6" ht="51.75" customHeight="1" x14ac:dyDescent="0.25">
      <c r="A135" s="388">
        <v>4010</v>
      </c>
      <c r="B135" s="67" t="s">
        <v>347</v>
      </c>
      <c r="C135" s="203"/>
      <c r="D135" s="204"/>
      <c r="E135" s="59">
        <f>SUM(E136:E139)</f>
        <v>34272</v>
      </c>
      <c r="F135" s="391">
        <f>E135</f>
        <v>34272</v>
      </c>
    </row>
    <row r="136" spans="1:6" ht="22.5" customHeight="1" x14ac:dyDescent="0.25">
      <c r="A136" s="389"/>
      <c r="B136" s="72" t="s">
        <v>286</v>
      </c>
      <c r="C136" s="196">
        <v>12</v>
      </c>
      <c r="D136" s="197">
        <v>2856</v>
      </c>
      <c r="E136" s="185">
        <f>C136*D136</f>
        <v>34272</v>
      </c>
      <c r="F136" s="392"/>
    </row>
    <row r="137" spans="1:6" ht="22.5" customHeight="1" x14ac:dyDescent="0.25">
      <c r="A137" s="389"/>
      <c r="B137" s="72" t="s">
        <v>348</v>
      </c>
      <c r="C137" s="345">
        <v>0</v>
      </c>
      <c r="D137" s="214">
        <f>E136</f>
        <v>34272</v>
      </c>
      <c r="E137" s="185">
        <f>ROUND(C137*D137,0)</f>
        <v>0</v>
      </c>
      <c r="F137" s="392"/>
    </row>
    <row r="138" spans="1:6" ht="22.5" customHeight="1" x14ac:dyDescent="0.25">
      <c r="A138" s="389"/>
      <c r="B138" s="336"/>
      <c r="C138" s="346">
        <v>1</v>
      </c>
      <c r="D138" s="347"/>
      <c r="E138" s="185">
        <f>ROUND(C138*D138,0)</f>
        <v>0</v>
      </c>
      <c r="F138" s="392"/>
    </row>
    <row r="139" spans="1:6" ht="22.5" customHeight="1" thickBot="1" x14ac:dyDescent="0.3">
      <c r="A139" s="389"/>
      <c r="B139" s="338"/>
      <c r="C139" s="346">
        <v>0</v>
      </c>
      <c r="D139" s="347">
        <v>0</v>
      </c>
      <c r="E139" s="185">
        <f>C139*D139</f>
        <v>0</v>
      </c>
      <c r="F139" s="392"/>
    </row>
    <row r="140" spans="1:6" ht="36" customHeight="1" thickBot="1" x14ac:dyDescent="0.3">
      <c r="A140" s="66">
        <v>4040</v>
      </c>
      <c r="B140" s="93" t="s">
        <v>144</v>
      </c>
      <c r="C140" s="194">
        <v>1</v>
      </c>
      <c r="D140" s="195">
        <v>2600</v>
      </c>
      <c r="E140" s="69">
        <f>C140*D140</f>
        <v>2600</v>
      </c>
      <c r="F140" s="70">
        <f>E140</f>
        <v>2600</v>
      </c>
    </row>
    <row r="141" spans="1:6" ht="36" customHeight="1" x14ac:dyDescent="0.25">
      <c r="A141" s="388">
        <v>4110</v>
      </c>
      <c r="B141" s="155" t="s">
        <v>124</v>
      </c>
      <c r="C141" s="203"/>
      <c r="D141" s="204"/>
      <c r="E141" s="59">
        <f>SUM(E142:E146)</f>
        <v>32754</v>
      </c>
      <c r="F141" s="391">
        <f>E141</f>
        <v>32754</v>
      </c>
    </row>
    <row r="142" spans="1:6" ht="24.75" customHeight="1" x14ac:dyDescent="0.25">
      <c r="A142" s="389"/>
      <c r="B142" s="72" t="s">
        <v>146</v>
      </c>
      <c r="C142" s="196">
        <v>12</v>
      </c>
      <c r="D142" s="209">
        <v>490.95</v>
      </c>
      <c r="E142" s="185">
        <f>ROUND(C142*D142,0)</f>
        <v>5891</v>
      </c>
      <c r="F142" s="392"/>
    </row>
    <row r="143" spans="1:6" ht="24.75" customHeight="1" x14ac:dyDescent="0.25">
      <c r="A143" s="389"/>
      <c r="B143" s="72" t="s">
        <v>349</v>
      </c>
      <c r="C143" s="196">
        <v>12</v>
      </c>
      <c r="D143" s="209">
        <v>2201.33</v>
      </c>
      <c r="E143" s="185">
        <f>ROUND(C143*D143,0)</f>
        <v>26416</v>
      </c>
      <c r="F143" s="392"/>
    </row>
    <row r="144" spans="1:6" ht="24.75" customHeight="1" x14ac:dyDescent="0.25">
      <c r="A144" s="389"/>
      <c r="B144" s="72" t="s">
        <v>350</v>
      </c>
      <c r="C144" s="196">
        <v>12</v>
      </c>
      <c r="D144" s="209">
        <f>(E137+E167)*H1</f>
        <v>0</v>
      </c>
      <c r="E144" s="185">
        <f>ROUND(C144*D144,0)</f>
        <v>0</v>
      </c>
      <c r="F144" s="392"/>
    </row>
    <row r="145" spans="1:6" ht="24.75" customHeight="1" x14ac:dyDescent="0.25">
      <c r="A145" s="389"/>
      <c r="B145" s="72" t="s">
        <v>341</v>
      </c>
      <c r="C145" s="196">
        <v>1</v>
      </c>
      <c r="D145" s="209">
        <v>446.94</v>
      </c>
      <c r="E145" s="185">
        <f>ROUND(C145*D145,0)</f>
        <v>447</v>
      </c>
      <c r="F145" s="392"/>
    </row>
    <row r="146" spans="1:6" ht="24.75" customHeight="1" thickBot="1" x14ac:dyDescent="0.3">
      <c r="A146" s="389"/>
      <c r="B146" s="336"/>
      <c r="C146" s="237"/>
      <c r="D146" s="238"/>
      <c r="E146" s="185">
        <f>C146*D146</f>
        <v>0</v>
      </c>
      <c r="F146" s="392"/>
    </row>
    <row r="147" spans="1:6" ht="41.25" customHeight="1" x14ac:dyDescent="0.25">
      <c r="A147" s="388">
        <v>4120</v>
      </c>
      <c r="B147" s="155" t="s">
        <v>152</v>
      </c>
      <c r="C147" s="203"/>
      <c r="D147" s="204"/>
      <c r="E147" s="59">
        <f>SUM(E148:E152)</f>
        <v>4602</v>
      </c>
      <c r="F147" s="391">
        <f>E147</f>
        <v>4602</v>
      </c>
    </row>
    <row r="148" spans="1:6" ht="27.75" customHeight="1" x14ac:dyDescent="0.25">
      <c r="A148" s="389"/>
      <c r="B148" s="72" t="s">
        <v>351</v>
      </c>
      <c r="C148" s="196">
        <v>12</v>
      </c>
      <c r="D148" s="209">
        <v>69.97</v>
      </c>
      <c r="E148" s="185">
        <f>ROUND(C148*D148,0)</f>
        <v>840</v>
      </c>
      <c r="F148" s="392"/>
    </row>
    <row r="149" spans="1:6" ht="27.75" customHeight="1" x14ac:dyDescent="0.25">
      <c r="A149" s="389"/>
      <c r="B149" s="72" t="s">
        <v>349</v>
      </c>
      <c r="C149" s="196">
        <v>12</v>
      </c>
      <c r="D149" s="209">
        <v>308.19</v>
      </c>
      <c r="E149" s="185">
        <f>ROUND(C149*D149,0)</f>
        <v>3698</v>
      </c>
      <c r="F149" s="392"/>
    </row>
    <row r="150" spans="1:6" ht="27.75" customHeight="1" x14ac:dyDescent="0.25">
      <c r="A150" s="389"/>
      <c r="B150" s="106" t="s">
        <v>352</v>
      </c>
      <c r="C150" s="196">
        <v>1</v>
      </c>
      <c r="D150" s="209">
        <f>(E167+E137)*H3</f>
        <v>0</v>
      </c>
      <c r="E150" s="185">
        <f>ROUND(C150*D150,0)</f>
        <v>0</v>
      </c>
      <c r="F150" s="392"/>
    </row>
    <row r="151" spans="1:6" ht="27.75" customHeight="1" x14ac:dyDescent="0.25">
      <c r="A151" s="389"/>
      <c r="B151" s="72" t="s">
        <v>341</v>
      </c>
      <c r="C151" s="196">
        <v>1</v>
      </c>
      <c r="D151" s="209">
        <v>63.7</v>
      </c>
      <c r="E151" s="185">
        <f>ROUND(C151*D151,0)</f>
        <v>64</v>
      </c>
      <c r="F151" s="392"/>
    </row>
    <row r="152" spans="1:6" ht="15.75" thickBot="1" x14ac:dyDescent="0.3">
      <c r="A152" s="390"/>
      <c r="B152" s="338"/>
      <c r="C152" s="235"/>
      <c r="D152" s="236"/>
      <c r="E152" s="321">
        <f>ROUND(C152*D152,0)</f>
        <v>0</v>
      </c>
      <c r="F152" s="393"/>
    </row>
    <row r="153" spans="1:6" ht="33" customHeight="1" thickBot="1" x14ac:dyDescent="0.3">
      <c r="A153" s="101">
        <v>4210</v>
      </c>
      <c r="B153" s="102" t="s">
        <v>42</v>
      </c>
      <c r="C153" s="220">
        <v>0</v>
      </c>
      <c r="D153" s="221">
        <v>0</v>
      </c>
      <c r="E153" s="104">
        <f>C153*D153</f>
        <v>0</v>
      </c>
      <c r="F153" s="105">
        <f>E153</f>
        <v>0</v>
      </c>
    </row>
    <row r="154" spans="1:6" ht="42" customHeight="1" thickBot="1" x14ac:dyDescent="0.3">
      <c r="A154" s="78">
        <v>4240</v>
      </c>
      <c r="B154" s="154" t="s">
        <v>357</v>
      </c>
      <c r="C154" s="348">
        <v>1</v>
      </c>
      <c r="D154" s="349">
        <v>2000</v>
      </c>
      <c r="E154" s="124">
        <f>C154*D154</f>
        <v>2000</v>
      </c>
      <c r="F154" s="83">
        <f>E154</f>
        <v>2000</v>
      </c>
    </row>
    <row r="155" spans="1:6" ht="46.5" customHeight="1" thickBot="1" x14ac:dyDescent="0.3">
      <c r="A155" s="101">
        <v>4300</v>
      </c>
      <c r="B155" s="102" t="s">
        <v>353</v>
      </c>
      <c r="C155" s="220">
        <v>1</v>
      </c>
      <c r="D155" s="221">
        <v>20000</v>
      </c>
      <c r="E155" s="104">
        <f>C155*D155</f>
        <v>20000</v>
      </c>
      <c r="F155" s="105">
        <f>E155</f>
        <v>20000</v>
      </c>
    </row>
    <row r="156" spans="1:6" ht="15.75" thickBot="1" x14ac:dyDescent="0.3">
      <c r="A156" s="319">
        <v>4440</v>
      </c>
      <c r="B156" s="258" t="s">
        <v>173</v>
      </c>
      <c r="C156" s="220">
        <v>1</v>
      </c>
      <c r="D156" s="221">
        <f>'[1]P1 - wydatki war. 1'!D156</f>
        <v>1665</v>
      </c>
      <c r="E156" s="104">
        <f>C156*D156</f>
        <v>1665</v>
      </c>
      <c r="F156" s="105">
        <f>E156</f>
        <v>1665</v>
      </c>
    </row>
    <row r="157" spans="1:6" ht="44.25" customHeight="1" x14ac:dyDescent="0.25">
      <c r="A157" s="389">
        <v>4710</v>
      </c>
      <c r="B157" s="112" t="s">
        <v>38</v>
      </c>
      <c r="C157" s="211"/>
      <c r="D157" s="212"/>
      <c r="E157" s="114">
        <f>SUM(E158:E161)</f>
        <v>312</v>
      </c>
      <c r="F157" s="392">
        <f>E157</f>
        <v>312</v>
      </c>
    </row>
    <row r="158" spans="1:6" ht="22.5" customHeight="1" x14ac:dyDescent="0.25">
      <c r="A158" s="389"/>
      <c r="B158" s="106" t="s">
        <v>354</v>
      </c>
      <c r="C158" s="196">
        <v>12</v>
      </c>
      <c r="D158" s="197">
        <v>0</v>
      </c>
      <c r="E158" s="185">
        <f>C158*D158</f>
        <v>0</v>
      </c>
      <c r="F158" s="392"/>
    </row>
    <row r="159" spans="1:6" ht="22.5" customHeight="1" x14ac:dyDescent="0.25">
      <c r="A159" s="389"/>
      <c r="B159" s="106" t="s">
        <v>184</v>
      </c>
      <c r="C159" s="196">
        <v>12</v>
      </c>
      <c r="D159" s="197">
        <v>26</v>
      </c>
      <c r="E159" s="185">
        <f>C159*D159</f>
        <v>312</v>
      </c>
      <c r="F159" s="392"/>
    </row>
    <row r="160" spans="1:6" ht="22.5" customHeight="1" x14ac:dyDescent="0.25">
      <c r="A160" s="389"/>
      <c r="B160" s="106" t="s">
        <v>183</v>
      </c>
      <c r="C160" s="196">
        <v>1</v>
      </c>
      <c r="D160" s="197">
        <v>0</v>
      </c>
      <c r="E160" s="185">
        <f>C160*D160</f>
        <v>0</v>
      </c>
      <c r="F160" s="392"/>
    </row>
    <row r="161" spans="1:6" ht="22.5" customHeight="1" thickBot="1" x14ac:dyDescent="0.3">
      <c r="A161" s="390"/>
      <c r="B161" s="232" t="s">
        <v>337</v>
      </c>
      <c r="C161" s="350">
        <v>1</v>
      </c>
      <c r="D161" s="351">
        <v>0</v>
      </c>
      <c r="E161" s="185">
        <f>C161*D161</f>
        <v>0</v>
      </c>
      <c r="F161" s="393"/>
    </row>
    <row r="162" spans="1:6" ht="36.75" customHeight="1" x14ac:dyDescent="0.25">
      <c r="A162" s="388">
        <v>4790</v>
      </c>
      <c r="B162" s="93" t="s">
        <v>39</v>
      </c>
      <c r="C162" s="194"/>
      <c r="D162" s="195"/>
      <c r="E162" s="352">
        <f>SUM(E163:E167)</f>
        <v>94548</v>
      </c>
      <c r="F162" s="391">
        <f>E162</f>
        <v>94548</v>
      </c>
    </row>
    <row r="163" spans="1:6" ht="15" customHeight="1" x14ac:dyDescent="0.25">
      <c r="A163" s="389"/>
      <c r="B163" s="72" t="s">
        <v>354</v>
      </c>
      <c r="C163" s="196">
        <v>12</v>
      </c>
      <c r="D163" s="197">
        <v>6379</v>
      </c>
      <c r="E163" s="110">
        <f>C163*D163</f>
        <v>76548</v>
      </c>
      <c r="F163" s="392"/>
    </row>
    <row r="164" spans="1:6" ht="15" customHeight="1" x14ac:dyDescent="0.25">
      <c r="A164" s="389"/>
      <c r="B164" s="72" t="s">
        <v>184</v>
      </c>
      <c r="C164" s="196">
        <v>12</v>
      </c>
      <c r="D164" s="197">
        <v>1500</v>
      </c>
      <c r="E164" s="110">
        <f>C164*D164</f>
        <v>18000</v>
      </c>
      <c r="F164" s="392"/>
    </row>
    <row r="165" spans="1:6" ht="15" customHeight="1" x14ac:dyDescent="0.25">
      <c r="A165" s="389"/>
      <c r="B165" s="72"/>
      <c r="C165" s="196"/>
      <c r="D165" s="197"/>
      <c r="E165" s="110">
        <f>C165*D165</f>
        <v>0</v>
      </c>
      <c r="F165" s="392"/>
    </row>
    <row r="166" spans="1:6" ht="15" customHeight="1" x14ac:dyDescent="0.25">
      <c r="A166" s="389"/>
      <c r="B166" s="72"/>
      <c r="C166" s="196"/>
      <c r="D166" s="197"/>
      <c r="E166" s="110">
        <f>C166*D166</f>
        <v>0</v>
      </c>
      <c r="F166" s="392"/>
    </row>
    <row r="167" spans="1:6" ht="15.75" thickBot="1" x14ac:dyDescent="0.3">
      <c r="A167" s="390"/>
      <c r="B167" s="353" t="s">
        <v>207</v>
      </c>
      <c r="C167" s="196">
        <v>1</v>
      </c>
      <c r="D167" s="197">
        <v>0</v>
      </c>
      <c r="E167" s="110">
        <f>C167*D167</f>
        <v>0</v>
      </c>
      <c r="F167" s="392"/>
    </row>
    <row r="168" spans="1:6" ht="15.75" thickBot="1" x14ac:dyDescent="0.3">
      <c r="A168" s="101"/>
      <c r="B168" s="103" t="s">
        <v>22</v>
      </c>
      <c r="C168" s="354"/>
      <c r="D168" s="355"/>
      <c r="E168" s="147">
        <f>SUM(E9+E102+E106+E134)</f>
        <v>2320138.12</v>
      </c>
      <c r="F168" s="147">
        <f>SUM(F9+F102+F106+F134)</f>
        <v>2320138.12</v>
      </c>
    </row>
  </sheetData>
  <mergeCells count="52">
    <mergeCell ref="A17:A23"/>
    <mergeCell ref="C17:D17"/>
    <mergeCell ref="F17:F23"/>
    <mergeCell ref="A1:F1"/>
    <mergeCell ref="A3:F3"/>
    <mergeCell ref="A10:A16"/>
    <mergeCell ref="C10:D10"/>
    <mergeCell ref="F10:F16"/>
    <mergeCell ref="A25:A35"/>
    <mergeCell ref="C25:D25"/>
    <mergeCell ref="F25:F35"/>
    <mergeCell ref="A36:A45"/>
    <mergeCell ref="C36:D36"/>
    <mergeCell ref="F36:F45"/>
    <mergeCell ref="A47:A50"/>
    <mergeCell ref="C47:D47"/>
    <mergeCell ref="F47:F50"/>
    <mergeCell ref="A52:A55"/>
    <mergeCell ref="C52:D52"/>
    <mergeCell ref="F52:F55"/>
    <mergeCell ref="A101:F101"/>
    <mergeCell ref="A56:A61"/>
    <mergeCell ref="C56:D56"/>
    <mergeCell ref="F56:F61"/>
    <mergeCell ref="A63:A78"/>
    <mergeCell ref="C63:D63"/>
    <mergeCell ref="F63:F78"/>
    <mergeCell ref="A84:A90"/>
    <mergeCell ref="F84:F90"/>
    <mergeCell ref="A91:A99"/>
    <mergeCell ref="C91:D91"/>
    <mergeCell ref="F91:F99"/>
    <mergeCell ref="A141:A146"/>
    <mergeCell ref="F141:F146"/>
    <mergeCell ref="A105:F105"/>
    <mergeCell ref="A107:A113"/>
    <mergeCell ref="F107:F113"/>
    <mergeCell ref="A115:A119"/>
    <mergeCell ref="F115:F119"/>
    <mergeCell ref="A120:A124"/>
    <mergeCell ref="F120:F124"/>
    <mergeCell ref="A125:A129"/>
    <mergeCell ref="F125:F129"/>
    <mergeCell ref="A133:F133"/>
    <mergeCell ref="A135:A139"/>
    <mergeCell ref="F135:F139"/>
    <mergeCell ref="A147:A152"/>
    <mergeCell ref="F147:F152"/>
    <mergeCell ref="A157:A161"/>
    <mergeCell ref="F157:F161"/>
    <mergeCell ref="A162:A167"/>
    <mergeCell ref="F162:F16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EBF55-65AC-46D2-BFCF-7D3190CA3287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F746A-5B26-4F52-892A-6C62EF51B720}">
  <dimension ref="A1:F312"/>
  <sheetViews>
    <sheetView topLeftCell="A293" workbookViewId="0">
      <selection activeCell="C323" sqref="C323"/>
    </sheetView>
  </sheetViews>
  <sheetFormatPr defaultRowHeight="15" x14ac:dyDescent="0.25"/>
  <cols>
    <col min="2" max="2" width="41.140625" customWidth="1"/>
    <col min="4" max="4" width="25.85546875" customWidth="1"/>
    <col min="5" max="5" width="20.5703125" customWidth="1"/>
    <col min="6" max="6" width="33.28515625" customWidth="1"/>
  </cols>
  <sheetData>
    <row r="1" spans="1:6" x14ac:dyDescent="0.25">
      <c r="A1" s="403" t="s">
        <v>308</v>
      </c>
      <c r="B1" s="403"/>
      <c r="C1" s="403"/>
      <c r="D1" s="403"/>
      <c r="E1" s="403"/>
      <c r="F1" s="403"/>
    </row>
    <row r="2" spans="1:6" x14ac:dyDescent="0.25">
      <c r="A2" s="48"/>
      <c r="B2" s="403" t="s">
        <v>367</v>
      </c>
      <c r="C2" s="403"/>
      <c r="D2" s="403"/>
      <c r="E2" s="403"/>
      <c r="F2" s="403"/>
    </row>
    <row r="3" spans="1:6" x14ac:dyDescent="0.25">
      <c r="A3" s="403" t="s">
        <v>309</v>
      </c>
      <c r="B3" s="430"/>
      <c r="C3" s="430"/>
      <c r="D3" s="430"/>
      <c r="E3" s="430"/>
      <c r="F3" s="430"/>
    </row>
    <row r="4" spans="1:6" ht="15.75" thickBot="1" x14ac:dyDescent="0.3">
      <c r="A4" s="48"/>
      <c r="B4" s="49"/>
      <c r="C4" s="50"/>
      <c r="D4" s="50"/>
      <c r="E4" s="50"/>
      <c r="F4" s="50"/>
    </row>
    <row r="5" spans="1:6" ht="39" thickBot="1" x14ac:dyDescent="0.3">
      <c r="A5" s="170" t="s">
        <v>125</v>
      </c>
      <c r="B5" s="170" t="s">
        <v>126</v>
      </c>
      <c r="C5" s="170" t="s">
        <v>127</v>
      </c>
      <c r="D5" s="170" t="s">
        <v>128</v>
      </c>
      <c r="E5" s="170" t="s">
        <v>129</v>
      </c>
      <c r="F5" s="170" t="s">
        <v>130</v>
      </c>
    </row>
    <row r="6" spans="1:6" ht="15.75" thickBot="1" x14ac:dyDescent="0.3">
      <c r="A6" s="51"/>
      <c r="B6" s="52"/>
      <c r="C6" s="53"/>
      <c r="D6" s="53"/>
      <c r="E6" s="54"/>
      <c r="F6" s="55"/>
    </row>
    <row r="7" spans="1:6" x14ac:dyDescent="0.25">
      <c r="A7" s="56">
        <v>801</v>
      </c>
      <c r="B7" s="57" t="s">
        <v>131</v>
      </c>
      <c r="C7" s="58"/>
      <c r="D7" s="59"/>
      <c r="E7" s="59">
        <f>SUM(E9+E211+E215+E275+E177+E308+E115+E243)</f>
        <v>4212483.5</v>
      </c>
      <c r="F7" s="60">
        <f>SUM(F9+F211+F215+F275+F177+F308+F115+F243)</f>
        <v>4212483.5</v>
      </c>
    </row>
    <row r="8" spans="1:6" x14ac:dyDescent="0.25">
      <c r="A8" s="61"/>
      <c r="B8" s="62"/>
      <c r="C8" s="63"/>
      <c r="D8" s="64"/>
      <c r="E8" s="64"/>
      <c r="F8" s="65"/>
    </row>
    <row r="9" spans="1:6" ht="15.75" thickBot="1" x14ac:dyDescent="0.3">
      <c r="A9" s="173">
        <v>801</v>
      </c>
      <c r="B9" s="174" t="s">
        <v>132</v>
      </c>
      <c r="C9" s="175"/>
      <c r="D9" s="176"/>
      <c r="E9" s="176">
        <f>E10+E17+E24+E25+E36+E46+E47+E66+E69+E70+E86+E87+E88+E89+E90+E91+E92+E101+E102+E111+E112+E113+E59+E62</f>
        <v>3109095</v>
      </c>
      <c r="F9" s="177">
        <f>SUM(F10:F113)</f>
        <v>3109095</v>
      </c>
    </row>
    <row r="10" spans="1:6" ht="25.5" x14ac:dyDescent="0.25">
      <c r="A10" s="388">
        <v>3020</v>
      </c>
      <c r="B10" s="67" t="s">
        <v>133</v>
      </c>
      <c r="C10" s="68"/>
      <c r="D10" s="69"/>
      <c r="E10" s="59">
        <f>SUM(E11:E16)</f>
        <v>99964</v>
      </c>
      <c r="F10" s="391">
        <f>E10</f>
        <v>99964</v>
      </c>
    </row>
    <row r="11" spans="1:6" x14ac:dyDescent="0.25">
      <c r="A11" s="389"/>
      <c r="B11" s="72" t="s">
        <v>134</v>
      </c>
      <c r="C11" s="73">
        <v>12</v>
      </c>
      <c r="D11" s="74">
        <v>8122</v>
      </c>
      <c r="E11" s="74">
        <f t="shared" ref="E11:E16" si="0">C11*D11</f>
        <v>97464</v>
      </c>
      <c r="F11" s="392"/>
    </row>
    <row r="12" spans="1:6" x14ac:dyDescent="0.25">
      <c r="A12" s="389"/>
      <c r="B12" s="72" t="s">
        <v>135</v>
      </c>
      <c r="C12" s="73">
        <v>1</v>
      </c>
      <c r="D12" s="76">
        <v>1000</v>
      </c>
      <c r="E12" s="74">
        <f t="shared" si="0"/>
        <v>1000</v>
      </c>
      <c r="F12" s="392"/>
    </row>
    <row r="13" spans="1:6" x14ac:dyDescent="0.25">
      <c r="A13" s="389"/>
      <c r="B13" s="72" t="s">
        <v>225</v>
      </c>
      <c r="C13" s="73">
        <v>1</v>
      </c>
      <c r="D13" s="74">
        <v>1500</v>
      </c>
      <c r="E13" s="74">
        <f t="shared" si="0"/>
        <v>1500</v>
      </c>
      <c r="F13" s="392"/>
    </row>
    <row r="14" spans="1:6" x14ac:dyDescent="0.25">
      <c r="A14" s="389"/>
      <c r="B14" s="72" t="s">
        <v>136</v>
      </c>
      <c r="C14" s="73">
        <v>0</v>
      </c>
      <c r="D14" s="76">
        <v>1000</v>
      </c>
      <c r="E14" s="74">
        <f t="shared" si="0"/>
        <v>0</v>
      </c>
      <c r="F14" s="392"/>
    </row>
    <row r="15" spans="1:6" x14ac:dyDescent="0.25">
      <c r="A15" s="389"/>
      <c r="B15" s="77"/>
      <c r="C15" s="73"/>
      <c r="D15" s="74"/>
      <c r="E15" s="74">
        <f>ROUND(C15*D15,0)</f>
        <v>0</v>
      </c>
      <c r="F15" s="392"/>
    </row>
    <row r="16" spans="1:6" ht="15.75" thickBot="1" x14ac:dyDescent="0.3">
      <c r="A16" s="390"/>
      <c r="B16" s="79"/>
      <c r="C16" s="80"/>
      <c r="D16" s="81"/>
      <c r="E16" s="82">
        <f t="shared" si="0"/>
        <v>0</v>
      </c>
      <c r="F16" s="393"/>
    </row>
    <row r="17" spans="1:6" ht="25.5" x14ac:dyDescent="0.25">
      <c r="A17" s="388">
        <v>4010</v>
      </c>
      <c r="B17" s="84" t="s">
        <v>137</v>
      </c>
      <c r="C17" s="85"/>
      <c r="D17" s="86"/>
      <c r="E17" s="87">
        <f>SUM(E18:E23)</f>
        <v>366100</v>
      </c>
      <c r="F17" s="392">
        <f>E17</f>
        <v>366100</v>
      </c>
    </row>
    <row r="18" spans="1:6" x14ac:dyDescent="0.25">
      <c r="A18" s="389"/>
      <c r="B18" s="72" t="s">
        <v>138</v>
      </c>
      <c r="C18" s="73">
        <v>12</v>
      </c>
      <c r="D18" s="74">
        <v>25650</v>
      </c>
      <c r="E18" s="86">
        <f t="shared" ref="E18:E23" si="1">C18*D18</f>
        <v>307800</v>
      </c>
      <c r="F18" s="392"/>
    </row>
    <row r="19" spans="1:6" ht="24" x14ac:dyDescent="0.25">
      <c r="A19" s="389"/>
      <c r="B19" s="72" t="s">
        <v>139</v>
      </c>
      <c r="C19" s="88">
        <v>0</v>
      </c>
      <c r="D19" s="76">
        <f>E18+E22+E23</f>
        <v>366100</v>
      </c>
      <c r="E19" s="86">
        <f>ROUND(C19*D19,0)</f>
        <v>0</v>
      </c>
      <c r="F19" s="392"/>
    </row>
    <row r="20" spans="1:6" x14ac:dyDescent="0.25">
      <c r="A20" s="389"/>
      <c r="B20" s="72"/>
      <c r="C20" s="89"/>
      <c r="D20" s="89"/>
      <c r="E20" s="86">
        <f>ROUND(C20*D20,0)</f>
        <v>0</v>
      </c>
      <c r="F20" s="392"/>
    </row>
    <row r="21" spans="1:6" x14ac:dyDescent="0.25">
      <c r="A21" s="389"/>
      <c r="B21" s="72"/>
      <c r="C21" s="73"/>
      <c r="D21" s="74"/>
      <c r="E21" s="86">
        <f>ROUND(C21*D21,0)</f>
        <v>0</v>
      </c>
      <c r="F21" s="392"/>
    </row>
    <row r="22" spans="1:6" x14ac:dyDescent="0.25">
      <c r="A22" s="389"/>
      <c r="B22" s="72" t="s">
        <v>142</v>
      </c>
      <c r="C22" s="73">
        <v>1</v>
      </c>
      <c r="D22" s="74">
        <v>16500</v>
      </c>
      <c r="E22" s="74">
        <f t="shared" si="1"/>
        <v>16500</v>
      </c>
      <c r="F22" s="392"/>
    </row>
    <row r="23" spans="1:6" ht="15.75" thickBot="1" x14ac:dyDescent="0.3">
      <c r="A23" s="390"/>
      <c r="B23" s="90" t="s">
        <v>143</v>
      </c>
      <c r="C23" s="91">
        <v>1</v>
      </c>
      <c r="D23" s="92">
        <v>41800</v>
      </c>
      <c r="E23" s="92">
        <f t="shared" si="1"/>
        <v>41800</v>
      </c>
      <c r="F23" s="393"/>
    </row>
    <row r="24" spans="1:6" ht="26.25" thickBot="1" x14ac:dyDescent="0.3">
      <c r="A24" s="66">
        <v>4040</v>
      </c>
      <c r="B24" s="93" t="s">
        <v>144</v>
      </c>
      <c r="C24" s="94">
        <v>1</v>
      </c>
      <c r="D24" s="95">
        <v>20000</v>
      </c>
      <c r="E24" s="69">
        <f>C24*D24</f>
        <v>20000</v>
      </c>
      <c r="F24" s="70">
        <f>E24</f>
        <v>20000</v>
      </c>
    </row>
    <row r="25" spans="1:6" ht="25.5" x14ac:dyDescent="0.25">
      <c r="A25" s="388">
        <v>4110</v>
      </c>
      <c r="B25" s="67" t="s">
        <v>124</v>
      </c>
      <c r="C25" s="96"/>
      <c r="D25" s="97"/>
      <c r="E25" s="59">
        <f>SUM(E26:E35)</f>
        <v>376843</v>
      </c>
      <c r="F25" s="391">
        <f>E25</f>
        <v>376843</v>
      </c>
    </row>
    <row r="26" spans="1:6" x14ac:dyDescent="0.25">
      <c r="A26" s="389"/>
      <c r="B26" s="72" t="s">
        <v>145</v>
      </c>
      <c r="C26" s="73">
        <v>12</v>
      </c>
      <c r="D26" s="76">
        <v>1426.22</v>
      </c>
      <c r="E26" s="74">
        <f t="shared" ref="E26:E35" si="2">ROUND(C26*D26,0)</f>
        <v>17115</v>
      </c>
      <c r="F26" s="392"/>
    </row>
    <row r="27" spans="1:6" x14ac:dyDescent="0.25">
      <c r="A27" s="389"/>
      <c r="B27" s="72" t="s">
        <v>146</v>
      </c>
      <c r="C27" s="73">
        <v>12</v>
      </c>
      <c r="D27" s="76">
        <v>4504.1400000000003</v>
      </c>
      <c r="E27" s="74">
        <f t="shared" si="2"/>
        <v>54050</v>
      </c>
      <c r="F27" s="392"/>
    </row>
    <row r="28" spans="1:6" ht="24" x14ac:dyDescent="0.25">
      <c r="A28" s="389"/>
      <c r="B28" s="72" t="s">
        <v>147</v>
      </c>
      <c r="C28" s="73">
        <v>12</v>
      </c>
      <c r="D28" s="76">
        <v>19645.25</v>
      </c>
      <c r="E28" s="74">
        <f t="shared" si="2"/>
        <v>235743</v>
      </c>
      <c r="F28" s="392"/>
    </row>
    <row r="29" spans="1:6" x14ac:dyDescent="0.25">
      <c r="A29" s="389"/>
      <c r="B29" s="72" t="s">
        <v>148</v>
      </c>
      <c r="C29" s="73">
        <v>12</v>
      </c>
      <c r="D29" s="76">
        <v>2800.82</v>
      </c>
      <c r="E29" s="74">
        <f t="shared" si="2"/>
        <v>33610</v>
      </c>
      <c r="F29" s="392"/>
    </row>
    <row r="30" spans="1:6" x14ac:dyDescent="0.25">
      <c r="A30" s="389"/>
      <c r="B30" s="72" t="s">
        <v>226</v>
      </c>
      <c r="C30" s="73">
        <v>1</v>
      </c>
      <c r="D30" s="76">
        <v>2961.14</v>
      </c>
      <c r="E30" s="74">
        <f t="shared" si="2"/>
        <v>2961</v>
      </c>
      <c r="F30" s="392"/>
    </row>
    <row r="31" spans="1:6" x14ac:dyDescent="0.25">
      <c r="A31" s="389"/>
      <c r="B31" s="72"/>
      <c r="C31" s="73"/>
      <c r="D31" s="74"/>
      <c r="E31" s="74">
        <f t="shared" si="2"/>
        <v>0</v>
      </c>
      <c r="F31" s="392"/>
    </row>
    <row r="32" spans="1:6" x14ac:dyDescent="0.25">
      <c r="A32" s="389"/>
      <c r="B32" s="72"/>
      <c r="C32" s="73"/>
      <c r="D32" s="74"/>
      <c r="E32" s="74">
        <f t="shared" si="2"/>
        <v>0</v>
      </c>
      <c r="F32" s="392"/>
    </row>
    <row r="33" spans="1:6" ht="24" x14ac:dyDescent="0.25">
      <c r="A33" s="389"/>
      <c r="B33" s="72" t="s">
        <v>227</v>
      </c>
      <c r="C33" s="73">
        <v>1</v>
      </c>
      <c r="D33" s="76">
        <v>8780</v>
      </c>
      <c r="E33" s="74">
        <f t="shared" si="2"/>
        <v>8780</v>
      </c>
      <c r="F33" s="392"/>
    </row>
    <row r="34" spans="1:6" ht="24" x14ac:dyDescent="0.25">
      <c r="A34" s="389"/>
      <c r="B34" s="72" t="s">
        <v>150</v>
      </c>
      <c r="C34" s="73">
        <v>10</v>
      </c>
      <c r="D34" s="76">
        <f>D46*H1</f>
        <v>0</v>
      </c>
      <c r="E34" s="74">
        <f t="shared" si="2"/>
        <v>0</v>
      </c>
      <c r="F34" s="392"/>
    </row>
    <row r="35" spans="1:6" ht="36.75" thickBot="1" x14ac:dyDescent="0.3">
      <c r="A35" s="390"/>
      <c r="B35" s="79" t="s">
        <v>151</v>
      </c>
      <c r="C35" s="98">
        <v>1</v>
      </c>
      <c r="D35" s="99">
        <v>24584</v>
      </c>
      <c r="E35" s="82">
        <f t="shared" si="2"/>
        <v>24584</v>
      </c>
      <c r="F35" s="393"/>
    </row>
    <row r="36" spans="1:6" x14ac:dyDescent="0.25">
      <c r="A36" s="388">
        <v>4120</v>
      </c>
      <c r="B36" s="67" t="s">
        <v>152</v>
      </c>
      <c r="C36" s="94"/>
      <c r="D36" s="95"/>
      <c r="E36" s="59">
        <f>SUM(E37:E45)</f>
        <v>52577</v>
      </c>
      <c r="F36" s="391">
        <f>E36</f>
        <v>52577</v>
      </c>
    </row>
    <row r="37" spans="1:6" x14ac:dyDescent="0.25">
      <c r="A37" s="389"/>
      <c r="B37" s="72" t="s">
        <v>153</v>
      </c>
      <c r="C37" s="73">
        <v>12</v>
      </c>
      <c r="D37" s="76">
        <v>198.99</v>
      </c>
      <c r="E37" s="74">
        <f t="shared" ref="E37:E45" si="3">ROUND(C37*D37,0)</f>
        <v>2388</v>
      </c>
      <c r="F37" s="392"/>
    </row>
    <row r="38" spans="1:6" ht="24" x14ac:dyDescent="0.25">
      <c r="A38" s="389"/>
      <c r="B38" s="72" t="s">
        <v>154</v>
      </c>
      <c r="C38" s="73">
        <v>12</v>
      </c>
      <c r="D38" s="76">
        <v>628.42999999999995</v>
      </c>
      <c r="E38" s="74">
        <f t="shared" si="3"/>
        <v>7541</v>
      </c>
      <c r="F38" s="392"/>
    </row>
    <row r="39" spans="1:6" ht="24" x14ac:dyDescent="0.25">
      <c r="A39" s="389"/>
      <c r="B39" s="72" t="s">
        <v>155</v>
      </c>
      <c r="C39" s="73">
        <v>12</v>
      </c>
      <c r="D39" s="76">
        <v>2740.94</v>
      </c>
      <c r="E39" s="74">
        <f t="shared" si="3"/>
        <v>32891</v>
      </c>
      <c r="F39" s="392"/>
    </row>
    <row r="40" spans="1:6" ht="24" x14ac:dyDescent="0.25">
      <c r="A40" s="389"/>
      <c r="B40" s="72" t="s">
        <v>156</v>
      </c>
      <c r="C40" s="73">
        <v>12</v>
      </c>
      <c r="D40" s="76">
        <v>390.78</v>
      </c>
      <c r="E40" s="74">
        <f t="shared" si="3"/>
        <v>4689</v>
      </c>
      <c r="F40" s="392"/>
    </row>
    <row r="41" spans="1:6" x14ac:dyDescent="0.25">
      <c r="A41" s="389"/>
      <c r="B41" s="72" t="s">
        <v>226</v>
      </c>
      <c r="C41" s="73">
        <v>1</v>
      </c>
      <c r="D41" s="76">
        <v>413.14</v>
      </c>
      <c r="E41" s="74">
        <f t="shared" si="3"/>
        <v>413</v>
      </c>
      <c r="F41" s="392"/>
    </row>
    <row r="42" spans="1:6" x14ac:dyDescent="0.25">
      <c r="A42" s="389"/>
      <c r="B42" s="72"/>
      <c r="C42" s="73"/>
      <c r="D42" s="74"/>
      <c r="E42" s="74">
        <f t="shared" si="3"/>
        <v>0</v>
      </c>
      <c r="F42" s="392"/>
    </row>
    <row r="43" spans="1:6" ht="24" x14ac:dyDescent="0.25">
      <c r="A43" s="389"/>
      <c r="B43" s="72" t="s">
        <v>228</v>
      </c>
      <c r="C43" s="73">
        <v>1</v>
      </c>
      <c r="D43" s="181">
        <v>1225</v>
      </c>
      <c r="E43" s="74">
        <f t="shared" si="3"/>
        <v>1225</v>
      </c>
      <c r="F43" s="392"/>
    </row>
    <row r="44" spans="1:6" ht="24" x14ac:dyDescent="0.25">
      <c r="A44" s="389"/>
      <c r="B44" s="72" t="s">
        <v>157</v>
      </c>
      <c r="C44" s="73">
        <v>10</v>
      </c>
      <c r="D44" s="76">
        <f>D46*H3</f>
        <v>0</v>
      </c>
      <c r="E44" s="74">
        <f t="shared" si="3"/>
        <v>0</v>
      </c>
      <c r="F44" s="392"/>
    </row>
    <row r="45" spans="1:6" ht="36.75" thickBot="1" x14ac:dyDescent="0.3">
      <c r="A45" s="390"/>
      <c r="B45" s="90" t="s">
        <v>158</v>
      </c>
      <c r="C45" s="80">
        <v>1</v>
      </c>
      <c r="D45" s="100">
        <v>3430</v>
      </c>
      <c r="E45" s="82">
        <f t="shared" si="3"/>
        <v>3430</v>
      </c>
      <c r="F45" s="393"/>
    </row>
    <row r="46" spans="1:6" ht="15.75" thickBot="1" x14ac:dyDescent="0.3">
      <c r="A46" s="66">
        <v>4170</v>
      </c>
      <c r="B46" s="93" t="s">
        <v>159</v>
      </c>
      <c r="C46" s="68">
        <v>0</v>
      </c>
      <c r="D46" s="69">
        <v>0</v>
      </c>
      <c r="E46" s="69">
        <f>C46*D46</f>
        <v>0</v>
      </c>
      <c r="F46" s="70">
        <f>E46</f>
        <v>0</v>
      </c>
    </row>
    <row r="47" spans="1:6" x14ac:dyDescent="0.25">
      <c r="A47" s="388">
        <v>4210</v>
      </c>
      <c r="B47" s="67" t="s">
        <v>160</v>
      </c>
      <c r="C47" s="58"/>
      <c r="D47" s="59"/>
      <c r="E47" s="59">
        <f>SUM(E48:E58)</f>
        <v>27650</v>
      </c>
      <c r="F47" s="391">
        <f>E47</f>
        <v>27650</v>
      </c>
    </row>
    <row r="48" spans="1:6" ht="83.25" customHeight="1" x14ac:dyDescent="0.25">
      <c r="A48" s="389"/>
      <c r="B48" s="106" t="s">
        <v>229</v>
      </c>
      <c r="C48" s="73">
        <v>1</v>
      </c>
      <c r="D48" s="74">
        <v>15000</v>
      </c>
      <c r="E48" s="74">
        <f>C48*D48</f>
        <v>15000</v>
      </c>
      <c r="F48" s="392"/>
    </row>
    <row r="49" spans="1:6" x14ac:dyDescent="0.25">
      <c r="A49" s="389"/>
      <c r="B49" s="106" t="s">
        <v>358</v>
      </c>
      <c r="C49" s="73">
        <v>1</v>
      </c>
      <c r="D49" s="74">
        <v>3000</v>
      </c>
      <c r="E49" s="74">
        <f t="shared" ref="E49:E58" si="4">C49*D49</f>
        <v>3000</v>
      </c>
      <c r="F49" s="392"/>
    </row>
    <row r="50" spans="1:6" x14ac:dyDescent="0.25">
      <c r="A50" s="389"/>
      <c r="B50" s="106" t="s">
        <v>359</v>
      </c>
      <c r="C50" s="73">
        <v>1</v>
      </c>
      <c r="D50" s="74">
        <v>2500</v>
      </c>
      <c r="E50" s="74">
        <f t="shared" si="4"/>
        <v>2500</v>
      </c>
      <c r="F50" s="392"/>
    </row>
    <row r="51" spans="1:6" x14ac:dyDescent="0.25">
      <c r="A51" s="389"/>
      <c r="B51" s="106" t="s">
        <v>230</v>
      </c>
      <c r="C51" s="73">
        <v>1</v>
      </c>
      <c r="D51" s="74">
        <v>200</v>
      </c>
      <c r="E51" s="74">
        <f t="shared" si="4"/>
        <v>200</v>
      </c>
      <c r="F51" s="392"/>
    </row>
    <row r="52" spans="1:6" ht="24" x14ac:dyDescent="0.25">
      <c r="A52" s="389"/>
      <c r="B52" s="106" t="s">
        <v>231</v>
      </c>
      <c r="C52" s="73">
        <v>1</v>
      </c>
      <c r="D52" s="74">
        <v>550</v>
      </c>
      <c r="E52" s="74">
        <f t="shared" si="4"/>
        <v>550</v>
      </c>
      <c r="F52" s="392"/>
    </row>
    <row r="53" spans="1:6" ht="24" x14ac:dyDescent="0.25">
      <c r="A53" s="389"/>
      <c r="B53" s="106" t="s">
        <v>232</v>
      </c>
      <c r="C53" s="73">
        <v>1</v>
      </c>
      <c r="D53" s="74">
        <v>400</v>
      </c>
      <c r="E53" s="74">
        <f t="shared" si="4"/>
        <v>400</v>
      </c>
      <c r="F53" s="392"/>
    </row>
    <row r="54" spans="1:6" x14ac:dyDescent="0.25">
      <c r="A54" s="389"/>
      <c r="B54" s="106" t="s">
        <v>233</v>
      </c>
      <c r="C54" s="73">
        <v>1</v>
      </c>
      <c r="D54" s="74">
        <v>200</v>
      </c>
      <c r="E54" s="74">
        <f t="shared" si="4"/>
        <v>200</v>
      </c>
      <c r="F54" s="392"/>
    </row>
    <row r="55" spans="1:6" x14ac:dyDescent="0.25">
      <c r="A55" s="389"/>
      <c r="B55" s="106" t="s">
        <v>234</v>
      </c>
      <c r="C55" s="73">
        <v>1</v>
      </c>
      <c r="D55" s="74">
        <v>300</v>
      </c>
      <c r="E55" s="74">
        <f t="shared" si="4"/>
        <v>300</v>
      </c>
      <c r="F55" s="392"/>
    </row>
    <row r="56" spans="1:6" ht="24" x14ac:dyDescent="0.25">
      <c r="A56" s="389"/>
      <c r="B56" s="106" t="s">
        <v>235</v>
      </c>
      <c r="C56" s="73">
        <v>1</v>
      </c>
      <c r="D56" s="74">
        <v>100</v>
      </c>
      <c r="E56" s="74">
        <f t="shared" si="4"/>
        <v>100</v>
      </c>
      <c r="F56" s="392"/>
    </row>
    <row r="57" spans="1:6" ht="24" x14ac:dyDescent="0.25">
      <c r="A57" s="389"/>
      <c r="B57" s="106" t="s">
        <v>236</v>
      </c>
      <c r="C57" s="73">
        <v>1</v>
      </c>
      <c r="D57" s="74">
        <v>400</v>
      </c>
      <c r="E57" s="74">
        <f t="shared" si="4"/>
        <v>400</v>
      </c>
      <c r="F57" s="392"/>
    </row>
    <row r="58" spans="1:6" ht="24.75" thickBot="1" x14ac:dyDescent="0.3">
      <c r="A58" s="390"/>
      <c r="B58" s="79" t="s">
        <v>237</v>
      </c>
      <c r="C58" s="98">
        <v>1</v>
      </c>
      <c r="D58" s="82">
        <v>5000</v>
      </c>
      <c r="E58" s="82">
        <f t="shared" si="4"/>
        <v>5000</v>
      </c>
      <c r="F58" s="393"/>
    </row>
    <row r="59" spans="1:6" x14ac:dyDescent="0.25">
      <c r="A59" s="421">
        <v>4240</v>
      </c>
      <c r="B59" s="67" t="s">
        <v>161</v>
      </c>
      <c r="C59" s="58"/>
      <c r="D59" s="59"/>
      <c r="E59" s="59">
        <f>SUM(E60:E61)</f>
        <v>1000</v>
      </c>
      <c r="F59" s="424">
        <f>E59</f>
        <v>1000</v>
      </c>
    </row>
    <row r="60" spans="1:6" ht="30" x14ac:dyDescent="0.25">
      <c r="A60" s="422"/>
      <c r="B60" s="183" t="s">
        <v>360</v>
      </c>
      <c r="C60" s="184">
        <v>1</v>
      </c>
      <c r="D60" s="185">
        <v>500</v>
      </c>
      <c r="E60" s="74">
        <f>C60*D60</f>
        <v>500</v>
      </c>
      <c r="F60" s="426"/>
    </row>
    <row r="61" spans="1:6" ht="15.75" thickBot="1" x14ac:dyDescent="0.3">
      <c r="A61" s="423"/>
      <c r="B61" s="79" t="s">
        <v>361</v>
      </c>
      <c r="C61" s="98">
        <v>1</v>
      </c>
      <c r="D61" s="82">
        <v>500</v>
      </c>
      <c r="E61" s="82">
        <f>C61*D61</f>
        <v>500</v>
      </c>
      <c r="F61" s="427"/>
    </row>
    <row r="62" spans="1:6" x14ac:dyDescent="0.25">
      <c r="A62" s="389">
        <v>4260</v>
      </c>
      <c r="B62" s="84" t="s">
        <v>162</v>
      </c>
      <c r="C62" s="116"/>
      <c r="D62" s="87"/>
      <c r="E62" s="186">
        <f>SUM(E63:E65)</f>
        <v>92152</v>
      </c>
      <c r="F62" s="392">
        <f>E62</f>
        <v>92152</v>
      </c>
    </row>
    <row r="63" spans="1:6" x14ac:dyDescent="0.25">
      <c r="A63" s="389"/>
      <c r="B63" s="72" t="s">
        <v>163</v>
      </c>
      <c r="C63" s="73">
        <v>12</v>
      </c>
      <c r="D63" s="74">
        <v>1698.66</v>
      </c>
      <c r="E63" s="110">
        <f>ROUND(C63*D63,0)</f>
        <v>20384</v>
      </c>
      <c r="F63" s="392"/>
    </row>
    <row r="64" spans="1:6" x14ac:dyDescent="0.25">
      <c r="A64" s="389"/>
      <c r="B64" s="72" t="s">
        <v>164</v>
      </c>
      <c r="C64" s="73">
        <v>4</v>
      </c>
      <c r="D64" s="74">
        <v>542.03</v>
      </c>
      <c r="E64" s="110">
        <f>ROUND(C64*D64,0)</f>
        <v>2168</v>
      </c>
      <c r="F64" s="392"/>
    </row>
    <row r="65" spans="1:6" ht="24.75" thickBot="1" x14ac:dyDescent="0.3">
      <c r="A65" s="389"/>
      <c r="B65" s="72" t="s">
        <v>238</v>
      </c>
      <c r="C65" s="73">
        <v>12</v>
      </c>
      <c r="D65" s="74">
        <v>5800</v>
      </c>
      <c r="E65" s="110">
        <f>ROUND(C65*D65,0)</f>
        <v>69600</v>
      </c>
      <c r="F65" s="392"/>
    </row>
    <row r="66" spans="1:6" ht="26.25" thickBot="1" x14ac:dyDescent="0.3">
      <c r="A66" s="388">
        <v>4270</v>
      </c>
      <c r="B66" s="102" t="s">
        <v>239</v>
      </c>
      <c r="C66" s="103">
        <v>1</v>
      </c>
      <c r="D66" s="104"/>
      <c r="E66" s="104">
        <f>SUM(E67:E68)</f>
        <v>10000</v>
      </c>
      <c r="F66" s="391">
        <f>E66</f>
        <v>10000</v>
      </c>
    </row>
    <row r="67" spans="1:6" ht="24.75" thickBot="1" x14ac:dyDescent="0.3">
      <c r="A67" s="389"/>
      <c r="B67" s="187" t="s">
        <v>362</v>
      </c>
      <c r="C67" s="188">
        <v>1</v>
      </c>
      <c r="D67" s="189">
        <v>5000</v>
      </c>
      <c r="E67" s="189">
        <f>C67*D67</f>
        <v>5000</v>
      </c>
      <c r="F67" s="392"/>
    </row>
    <row r="68" spans="1:6" ht="15.75" thickBot="1" x14ac:dyDescent="0.3">
      <c r="A68" s="390"/>
      <c r="B68" s="187" t="s">
        <v>240</v>
      </c>
      <c r="C68" s="188">
        <v>1</v>
      </c>
      <c r="D68" s="189">
        <v>5000</v>
      </c>
      <c r="E68" s="189">
        <f>C68*D68</f>
        <v>5000</v>
      </c>
      <c r="F68" s="393"/>
    </row>
    <row r="69" spans="1:6" ht="15.75" thickBot="1" x14ac:dyDescent="0.3">
      <c r="A69" s="101">
        <v>4280</v>
      </c>
      <c r="B69" s="102" t="s">
        <v>36</v>
      </c>
      <c r="C69" s="103">
        <v>1</v>
      </c>
      <c r="D69" s="104">
        <v>1250</v>
      </c>
      <c r="E69" s="104">
        <f>C69*D69</f>
        <v>1250</v>
      </c>
      <c r="F69" s="105">
        <f>E69</f>
        <v>1250</v>
      </c>
    </row>
    <row r="70" spans="1:6" x14ac:dyDescent="0.25">
      <c r="A70" s="388">
        <v>4300</v>
      </c>
      <c r="B70" s="84" t="s">
        <v>37</v>
      </c>
      <c r="C70" s="85"/>
      <c r="D70" s="86"/>
      <c r="E70" s="87">
        <f>SUM(E71:E85)</f>
        <v>45953</v>
      </c>
      <c r="F70" s="391">
        <f>E70</f>
        <v>45953</v>
      </c>
    </row>
    <row r="71" spans="1:6" x14ac:dyDescent="0.25">
      <c r="A71" s="389"/>
      <c r="B71" s="72" t="s">
        <v>165</v>
      </c>
      <c r="C71" s="73">
        <v>12</v>
      </c>
      <c r="D71" s="74">
        <v>185</v>
      </c>
      <c r="E71" s="74">
        <f>ROUND((C71*D71),0)</f>
        <v>2220</v>
      </c>
      <c r="F71" s="392"/>
    </row>
    <row r="72" spans="1:6" x14ac:dyDescent="0.25">
      <c r="A72" s="389"/>
      <c r="B72" s="72" t="s">
        <v>166</v>
      </c>
      <c r="C72" s="73">
        <v>12</v>
      </c>
      <c r="D72" s="74">
        <v>233</v>
      </c>
      <c r="E72" s="74">
        <f t="shared" ref="E72:E85" si="5">ROUND((C72*D72),0)</f>
        <v>2796</v>
      </c>
      <c r="F72" s="392"/>
    </row>
    <row r="73" spans="1:6" x14ac:dyDescent="0.25">
      <c r="A73" s="389"/>
      <c r="B73" s="72" t="s">
        <v>167</v>
      </c>
      <c r="C73" s="73">
        <v>12</v>
      </c>
      <c r="D73" s="74">
        <v>254</v>
      </c>
      <c r="E73" s="74">
        <f t="shared" si="5"/>
        <v>3048</v>
      </c>
      <c r="F73" s="392"/>
    </row>
    <row r="74" spans="1:6" x14ac:dyDescent="0.25">
      <c r="A74" s="389"/>
      <c r="B74" s="72" t="s">
        <v>168</v>
      </c>
      <c r="C74" s="73">
        <v>12</v>
      </c>
      <c r="D74" s="74">
        <v>160</v>
      </c>
      <c r="E74" s="74">
        <f t="shared" si="5"/>
        <v>1920</v>
      </c>
      <c r="F74" s="392"/>
    </row>
    <row r="75" spans="1:6" x14ac:dyDescent="0.25">
      <c r="A75" s="389"/>
      <c r="B75" s="72" t="s">
        <v>241</v>
      </c>
      <c r="C75" s="73">
        <v>12</v>
      </c>
      <c r="D75" s="74">
        <v>272</v>
      </c>
      <c r="E75" s="74">
        <f t="shared" si="5"/>
        <v>3264</v>
      </c>
      <c r="F75" s="392"/>
    </row>
    <row r="76" spans="1:6" x14ac:dyDescent="0.25">
      <c r="A76" s="389"/>
      <c r="B76" s="72" t="s">
        <v>169</v>
      </c>
      <c r="C76" s="73">
        <v>4</v>
      </c>
      <c r="D76" s="74">
        <v>1300</v>
      </c>
      <c r="E76" s="74">
        <f t="shared" si="5"/>
        <v>5200</v>
      </c>
      <c r="F76" s="392"/>
    </row>
    <row r="77" spans="1:6" x14ac:dyDescent="0.25">
      <c r="A77" s="389"/>
      <c r="B77" s="72" t="s">
        <v>242</v>
      </c>
      <c r="C77" s="73">
        <v>12</v>
      </c>
      <c r="D77" s="74">
        <v>380.07</v>
      </c>
      <c r="E77" s="74">
        <f t="shared" si="5"/>
        <v>4561</v>
      </c>
      <c r="F77" s="392"/>
    </row>
    <row r="78" spans="1:6" ht="36" x14ac:dyDescent="0.25">
      <c r="A78" s="389"/>
      <c r="B78" s="72" t="s">
        <v>243</v>
      </c>
      <c r="C78" s="73">
        <v>1</v>
      </c>
      <c r="D78" s="74">
        <v>3213.6</v>
      </c>
      <c r="E78" s="74">
        <f t="shared" si="5"/>
        <v>3214</v>
      </c>
      <c r="F78" s="392"/>
    </row>
    <row r="79" spans="1:6" x14ac:dyDescent="0.25">
      <c r="A79" s="389"/>
      <c r="B79" s="72" t="s">
        <v>363</v>
      </c>
      <c r="C79" s="73">
        <v>1</v>
      </c>
      <c r="D79" s="74">
        <v>180</v>
      </c>
      <c r="E79" s="74">
        <f t="shared" si="5"/>
        <v>180</v>
      </c>
      <c r="F79" s="392"/>
    </row>
    <row r="80" spans="1:6" x14ac:dyDescent="0.25">
      <c r="A80" s="389"/>
      <c r="B80" s="72" t="s">
        <v>244</v>
      </c>
      <c r="C80" s="73">
        <v>1</v>
      </c>
      <c r="D80" s="74">
        <v>450</v>
      </c>
      <c r="E80" s="74">
        <f t="shared" si="5"/>
        <v>450</v>
      </c>
      <c r="F80" s="392"/>
    </row>
    <row r="81" spans="1:6" ht="24" x14ac:dyDescent="0.25">
      <c r="A81" s="389"/>
      <c r="B81" s="72" t="s">
        <v>364</v>
      </c>
      <c r="C81" s="73">
        <v>1</v>
      </c>
      <c r="D81" s="74">
        <v>1200</v>
      </c>
      <c r="E81" s="74">
        <f t="shared" si="5"/>
        <v>1200</v>
      </c>
      <c r="F81" s="392"/>
    </row>
    <row r="82" spans="1:6" ht="24" x14ac:dyDescent="0.25">
      <c r="A82" s="389"/>
      <c r="B82" s="72" t="s">
        <v>245</v>
      </c>
      <c r="C82" s="73">
        <v>1</v>
      </c>
      <c r="D82" s="74">
        <v>400</v>
      </c>
      <c r="E82" s="74">
        <f t="shared" si="5"/>
        <v>400</v>
      </c>
      <c r="F82" s="392"/>
    </row>
    <row r="83" spans="1:6" ht="24" x14ac:dyDescent="0.25">
      <c r="A83" s="389"/>
      <c r="B83" s="72" t="s">
        <v>246</v>
      </c>
      <c r="C83" s="73">
        <v>1</v>
      </c>
      <c r="D83" s="74">
        <v>6000</v>
      </c>
      <c r="E83" s="74">
        <f t="shared" si="5"/>
        <v>6000</v>
      </c>
      <c r="F83" s="392"/>
    </row>
    <row r="84" spans="1:6" ht="24" x14ac:dyDescent="0.25">
      <c r="A84" s="389"/>
      <c r="B84" s="72" t="s">
        <v>295</v>
      </c>
      <c r="C84" s="73">
        <v>1</v>
      </c>
      <c r="D84" s="74">
        <v>9500</v>
      </c>
      <c r="E84" s="74">
        <f t="shared" si="5"/>
        <v>9500</v>
      </c>
      <c r="F84" s="392"/>
    </row>
    <row r="85" spans="1:6" ht="15.75" thickBot="1" x14ac:dyDescent="0.3">
      <c r="A85" s="389"/>
      <c r="B85" s="72" t="s">
        <v>247</v>
      </c>
      <c r="C85" s="73">
        <v>1</v>
      </c>
      <c r="D85" s="74">
        <v>2000</v>
      </c>
      <c r="E85" s="74">
        <f t="shared" si="5"/>
        <v>2000</v>
      </c>
      <c r="F85" s="392"/>
    </row>
    <row r="86" spans="1:6" ht="51.75" thickBot="1" x14ac:dyDescent="0.3">
      <c r="A86" s="101">
        <v>4350</v>
      </c>
      <c r="B86" s="102" t="s">
        <v>170</v>
      </c>
      <c r="C86" s="103">
        <v>0</v>
      </c>
      <c r="D86" s="104">
        <v>0</v>
      </c>
      <c r="E86" s="104">
        <f>C86*D86</f>
        <v>0</v>
      </c>
      <c r="F86" s="105">
        <f t="shared" ref="F86:F92" si="6">E86</f>
        <v>0</v>
      </c>
    </row>
    <row r="87" spans="1:6" ht="26.25" thickBot="1" x14ac:dyDescent="0.3">
      <c r="A87" s="101">
        <v>4360</v>
      </c>
      <c r="B87" s="102" t="s">
        <v>171</v>
      </c>
      <c r="C87" s="103">
        <v>12</v>
      </c>
      <c r="D87" s="104">
        <v>121.84</v>
      </c>
      <c r="E87" s="104">
        <f>ROUND(C87*D87,0)</f>
        <v>1462</v>
      </c>
      <c r="F87" s="105">
        <f t="shared" si="6"/>
        <v>1462</v>
      </c>
    </row>
    <row r="88" spans="1:6" ht="39" thickBot="1" x14ac:dyDescent="0.3">
      <c r="A88" s="101">
        <v>4410</v>
      </c>
      <c r="B88" s="102" t="s">
        <v>172</v>
      </c>
      <c r="C88" s="103">
        <v>1</v>
      </c>
      <c r="D88" s="104">
        <v>1000</v>
      </c>
      <c r="E88" s="104">
        <f>C88*D88</f>
        <v>1000</v>
      </c>
      <c r="F88" s="105">
        <f t="shared" si="6"/>
        <v>1000</v>
      </c>
    </row>
    <row r="89" spans="1:6" ht="106.5" customHeight="1" thickBot="1" x14ac:dyDescent="0.3">
      <c r="A89" s="71">
        <v>4430</v>
      </c>
      <c r="B89" s="112" t="s">
        <v>275</v>
      </c>
      <c r="C89" s="113">
        <v>1</v>
      </c>
      <c r="D89" s="114">
        <v>5000</v>
      </c>
      <c r="E89" s="114">
        <f>C89*D89</f>
        <v>5000</v>
      </c>
      <c r="F89" s="75">
        <f t="shared" si="6"/>
        <v>5000</v>
      </c>
    </row>
    <row r="90" spans="1:6" ht="15.75" thickBot="1" x14ac:dyDescent="0.3">
      <c r="A90" s="101">
        <v>4440</v>
      </c>
      <c r="B90" s="102" t="s">
        <v>173</v>
      </c>
      <c r="C90" s="103">
        <v>1</v>
      </c>
      <c r="D90" s="104">
        <v>131463</v>
      </c>
      <c r="E90" s="104">
        <f>C90*D90</f>
        <v>131463</v>
      </c>
      <c r="F90" s="105">
        <f t="shared" si="6"/>
        <v>131463</v>
      </c>
    </row>
    <row r="91" spans="1:6" ht="51.75" thickBot="1" x14ac:dyDescent="0.3">
      <c r="A91" s="101">
        <v>4700</v>
      </c>
      <c r="B91" s="115" t="s">
        <v>248</v>
      </c>
      <c r="C91" s="103">
        <v>1</v>
      </c>
      <c r="D91" s="104">
        <v>1000</v>
      </c>
      <c r="E91" s="104">
        <f>C91*D91</f>
        <v>1000</v>
      </c>
      <c r="F91" s="105">
        <f t="shared" si="6"/>
        <v>1000</v>
      </c>
    </row>
    <row r="92" spans="1:6" ht="51" x14ac:dyDescent="0.25">
      <c r="A92" s="389">
        <v>4710</v>
      </c>
      <c r="B92" s="84" t="s">
        <v>175</v>
      </c>
      <c r="C92" s="116"/>
      <c r="D92" s="87"/>
      <c r="E92" s="87">
        <f>SUM(E93:E100)</f>
        <v>2568</v>
      </c>
      <c r="F92" s="391">
        <f t="shared" si="6"/>
        <v>2568</v>
      </c>
    </row>
    <row r="93" spans="1:6" ht="24" x14ac:dyDescent="0.25">
      <c r="A93" s="389"/>
      <c r="B93" s="72" t="s">
        <v>176</v>
      </c>
      <c r="C93" s="73">
        <v>12</v>
      </c>
      <c r="D93" s="74">
        <v>10.5</v>
      </c>
      <c r="E93" s="117">
        <f>ROUND((C93*D93),0)</f>
        <v>126</v>
      </c>
      <c r="F93" s="392"/>
    </row>
    <row r="94" spans="1:6" x14ac:dyDescent="0.25">
      <c r="A94" s="389"/>
      <c r="B94" s="72" t="s">
        <v>177</v>
      </c>
      <c r="C94" s="73">
        <v>12</v>
      </c>
      <c r="D94" s="74">
        <v>0</v>
      </c>
      <c r="E94" s="117">
        <f t="shared" ref="E94:E101" si="7">ROUND((C94*D94),0)</f>
        <v>0</v>
      </c>
      <c r="F94" s="392"/>
    </row>
    <row r="95" spans="1:6" ht="24" x14ac:dyDescent="0.25">
      <c r="A95" s="389"/>
      <c r="B95" s="72" t="s">
        <v>249</v>
      </c>
      <c r="C95" s="73">
        <v>1</v>
      </c>
      <c r="D95" s="74">
        <v>0</v>
      </c>
      <c r="E95" s="117">
        <f t="shared" si="7"/>
        <v>0</v>
      </c>
      <c r="F95" s="392"/>
    </row>
    <row r="96" spans="1:6" ht="24" x14ac:dyDescent="0.25">
      <c r="A96" s="389"/>
      <c r="B96" s="72" t="s">
        <v>178</v>
      </c>
      <c r="C96" s="73">
        <v>12</v>
      </c>
      <c r="D96" s="74">
        <v>132</v>
      </c>
      <c r="E96" s="117">
        <f t="shared" si="7"/>
        <v>1584</v>
      </c>
      <c r="F96" s="392"/>
    </row>
    <row r="97" spans="1:6" x14ac:dyDescent="0.25">
      <c r="A97" s="389"/>
      <c r="B97" s="72" t="s">
        <v>250</v>
      </c>
      <c r="C97" s="73">
        <v>12</v>
      </c>
      <c r="D97" s="74">
        <v>44</v>
      </c>
      <c r="E97" s="117">
        <f t="shared" si="7"/>
        <v>528</v>
      </c>
      <c r="F97" s="392"/>
    </row>
    <row r="98" spans="1:6" x14ac:dyDescent="0.25">
      <c r="A98" s="389"/>
      <c r="B98" s="72" t="s">
        <v>179</v>
      </c>
      <c r="C98" s="73">
        <v>1</v>
      </c>
      <c r="D98" s="74">
        <v>80</v>
      </c>
      <c r="E98" s="117">
        <f t="shared" si="7"/>
        <v>80</v>
      </c>
      <c r="F98" s="392"/>
    </row>
    <row r="99" spans="1:6" ht="24" x14ac:dyDescent="0.25">
      <c r="A99" s="389"/>
      <c r="B99" s="72" t="s">
        <v>251</v>
      </c>
      <c r="C99" s="73">
        <v>1</v>
      </c>
      <c r="D99" s="74">
        <v>150</v>
      </c>
      <c r="E99" s="117">
        <f t="shared" si="7"/>
        <v>150</v>
      </c>
      <c r="F99" s="392"/>
    </row>
    <row r="100" spans="1:6" ht="9.75" customHeight="1" thickBot="1" x14ac:dyDescent="0.3">
      <c r="A100" s="389"/>
      <c r="B100" s="72" t="s">
        <v>180</v>
      </c>
      <c r="C100" s="73">
        <v>1</v>
      </c>
      <c r="D100" s="74">
        <v>100</v>
      </c>
      <c r="E100" s="117">
        <f t="shared" si="7"/>
        <v>100</v>
      </c>
      <c r="F100" s="392"/>
    </row>
    <row r="101" spans="1:6" ht="39" hidden="1" thickBot="1" x14ac:dyDescent="0.3">
      <c r="A101" s="101">
        <v>4750</v>
      </c>
      <c r="B101" s="102" t="s">
        <v>181</v>
      </c>
      <c r="C101" s="103">
        <v>0</v>
      </c>
      <c r="D101" s="104">
        <v>0</v>
      </c>
      <c r="E101" s="117">
        <f t="shared" si="7"/>
        <v>0</v>
      </c>
      <c r="F101" s="105">
        <f>E101</f>
        <v>0</v>
      </c>
    </row>
    <row r="102" spans="1:6" x14ac:dyDescent="0.25">
      <c r="A102" s="388">
        <v>4790</v>
      </c>
      <c r="B102" s="118" t="s">
        <v>39</v>
      </c>
      <c r="C102" s="58"/>
      <c r="D102" s="59"/>
      <c r="E102" s="59">
        <f>SUM(E103:E110)</f>
        <v>1753113</v>
      </c>
      <c r="F102" s="391">
        <f>E102</f>
        <v>1753113</v>
      </c>
    </row>
    <row r="103" spans="1:6" x14ac:dyDescent="0.25">
      <c r="A103" s="389"/>
      <c r="B103" s="119" t="s">
        <v>182</v>
      </c>
      <c r="C103" s="73">
        <v>12</v>
      </c>
      <c r="D103" s="74">
        <v>111875</v>
      </c>
      <c r="E103" s="74">
        <f>C103*D103</f>
        <v>1342500</v>
      </c>
      <c r="F103" s="392"/>
    </row>
    <row r="104" spans="1:6" x14ac:dyDescent="0.25">
      <c r="A104" s="389"/>
      <c r="B104" s="119" t="s">
        <v>183</v>
      </c>
      <c r="C104" s="88">
        <v>0.01</v>
      </c>
      <c r="D104" s="76">
        <f>(E103+E105+E109+E110)</f>
        <v>1686250</v>
      </c>
      <c r="E104" s="74">
        <f>ROUND(C104*D104,0)</f>
        <v>16863</v>
      </c>
      <c r="F104" s="392"/>
    </row>
    <row r="105" spans="1:6" x14ac:dyDescent="0.25">
      <c r="A105" s="389"/>
      <c r="B105" s="120" t="s">
        <v>184</v>
      </c>
      <c r="C105" s="73">
        <v>12</v>
      </c>
      <c r="D105" s="74">
        <v>15950</v>
      </c>
      <c r="E105" s="74">
        <f t="shared" ref="E105:E113" si="8">C105*D105</f>
        <v>191400</v>
      </c>
      <c r="F105" s="392"/>
    </row>
    <row r="106" spans="1:6" x14ac:dyDescent="0.25">
      <c r="A106" s="389"/>
      <c r="B106" s="108"/>
      <c r="C106" s="73"/>
      <c r="D106" s="74"/>
      <c r="E106" s="74">
        <f>ROUND(C106*D106,0)</f>
        <v>0</v>
      </c>
      <c r="F106" s="392"/>
    </row>
    <row r="107" spans="1:6" x14ac:dyDescent="0.25">
      <c r="A107" s="389"/>
      <c r="B107" s="72"/>
      <c r="C107" s="73"/>
      <c r="D107" s="74"/>
      <c r="E107" s="74">
        <f t="shared" si="8"/>
        <v>0</v>
      </c>
      <c r="F107" s="392"/>
    </row>
    <row r="108" spans="1:6" ht="24" x14ac:dyDescent="0.25">
      <c r="A108" s="389"/>
      <c r="B108" s="72" t="s">
        <v>185</v>
      </c>
      <c r="C108" s="73">
        <v>1</v>
      </c>
      <c r="D108" s="74">
        <v>50000</v>
      </c>
      <c r="E108" s="74">
        <f t="shared" si="8"/>
        <v>50000</v>
      </c>
      <c r="F108" s="392"/>
    </row>
    <row r="109" spans="1:6" x14ac:dyDescent="0.25">
      <c r="A109" s="389"/>
      <c r="B109" s="121" t="s">
        <v>202</v>
      </c>
      <c r="C109" s="73">
        <v>1</v>
      </c>
      <c r="D109" s="74">
        <v>60000</v>
      </c>
      <c r="E109" s="74">
        <f>C109*D109</f>
        <v>60000</v>
      </c>
      <c r="F109" s="392"/>
    </row>
    <row r="110" spans="1:6" ht="15.75" thickBot="1" x14ac:dyDescent="0.3">
      <c r="A110" s="389"/>
      <c r="B110" s="121" t="s">
        <v>143</v>
      </c>
      <c r="C110" s="73">
        <v>1</v>
      </c>
      <c r="D110" s="74">
        <v>92350</v>
      </c>
      <c r="E110" s="74">
        <f t="shared" si="8"/>
        <v>92350</v>
      </c>
      <c r="F110" s="392"/>
    </row>
    <row r="111" spans="1:6" ht="26.25" thickBot="1" x14ac:dyDescent="0.3">
      <c r="A111" s="101">
        <v>4800</v>
      </c>
      <c r="B111" s="115" t="s">
        <v>101</v>
      </c>
      <c r="C111" s="103">
        <v>1</v>
      </c>
      <c r="D111" s="104">
        <v>120000</v>
      </c>
      <c r="E111" s="104">
        <f>C111*D111</f>
        <v>120000</v>
      </c>
      <c r="F111" s="105">
        <f>E111</f>
        <v>120000</v>
      </c>
    </row>
    <row r="112" spans="1:6" ht="51.75" hidden="1" thickBot="1" x14ac:dyDescent="0.3">
      <c r="A112" s="101">
        <v>4850</v>
      </c>
      <c r="B112" s="115" t="s">
        <v>186</v>
      </c>
      <c r="C112" s="103">
        <v>0</v>
      </c>
      <c r="D112" s="104">
        <v>0</v>
      </c>
      <c r="E112" s="104">
        <f t="shared" si="8"/>
        <v>0</v>
      </c>
      <c r="F112" s="105">
        <f>E112</f>
        <v>0</v>
      </c>
    </row>
    <row r="113" spans="1:6" ht="39" hidden="1" thickBot="1" x14ac:dyDescent="0.3">
      <c r="A113" s="78">
        <v>4860</v>
      </c>
      <c r="B113" s="122" t="s">
        <v>187</v>
      </c>
      <c r="C113" s="123">
        <v>0</v>
      </c>
      <c r="D113" s="124">
        <v>0</v>
      </c>
      <c r="E113" s="124">
        <f t="shared" si="8"/>
        <v>0</v>
      </c>
      <c r="F113" s="83">
        <f>E113</f>
        <v>0</v>
      </c>
    </row>
    <row r="114" spans="1:6" x14ac:dyDescent="0.25">
      <c r="A114" s="125"/>
      <c r="B114" s="126"/>
      <c r="C114" s="127"/>
      <c r="D114" s="128"/>
      <c r="E114" s="129"/>
      <c r="F114" s="130"/>
    </row>
    <row r="115" spans="1:6" ht="15.75" thickBot="1" x14ac:dyDescent="0.3">
      <c r="A115" s="173">
        <v>801</v>
      </c>
      <c r="B115" s="174" t="s">
        <v>252</v>
      </c>
      <c r="C115" s="191"/>
      <c r="D115" s="192"/>
      <c r="E115" s="176">
        <f>E116+E120+E127+E138+E148+E149+E152+E154+E155+E158+E159+E166+E175+E128</f>
        <v>502458</v>
      </c>
      <c r="F115" s="177">
        <f>SUM(F116:F175)</f>
        <v>502458</v>
      </c>
    </row>
    <row r="116" spans="1:6" ht="25.5" x14ac:dyDescent="0.25">
      <c r="A116" s="388">
        <v>3020</v>
      </c>
      <c r="B116" s="67" t="s">
        <v>253</v>
      </c>
      <c r="C116" s="194"/>
      <c r="D116" s="195"/>
      <c r="E116" s="59">
        <f>SUM(E117:E119)</f>
        <v>16440</v>
      </c>
      <c r="F116" s="391">
        <f>E116</f>
        <v>16440</v>
      </c>
    </row>
    <row r="117" spans="1:6" x14ac:dyDescent="0.25">
      <c r="A117" s="389"/>
      <c r="B117" s="72" t="s">
        <v>134</v>
      </c>
      <c r="C117" s="196">
        <v>12</v>
      </c>
      <c r="D117" s="197">
        <v>1370</v>
      </c>
      <c r="E117" s="74">
        <f>C117*D117</f>
        <v>16440</v>
      </c>
      <c r="F117" s="392"/>
    </row>
    <row r="118" spans="1:6" x14ac:dyDescent="0.25">
      <c r="A118" s="389"/>
      <c r="B118" s="77"/>
      <c r="C118" s="196"/>
      <c r="D118" s="197"/>
      <c r="E118" s="74">
        <f>ROUND(C118*D118,0)</f>
        <v>0</v>
      </c>
      <c r="F118" s="392"/>
    </row>
    <row r="119" spans="1:6" ht="15.75" thickBot="1" x14ac:dyDescent="0.3">
      <c r="A119" s="390"/>
      <c r="B119" s="79"/>
      <c r="C119" s="201"/>
      <c r="D119" s="202"/>
      <c r="E119" s="82">
        <f>C119*D119</f>
        <v>0</v>
      </c>
      <c r="F119" s="393"/>
    </row>
    <row r="120" spans="1:6" ht="25.5" x14ac:dyDescent="0.25">
      <c r="A120" s="388">
        <v>4010</v>
      </c>
      <c r="B120" s="67" t="s">
        <v>254</v>
      </c>
      <c r="C120" s="203"/>
      <c r="D120" s="204"/>
      <c r="E120" s="59">
        <f>SUM(E121:E126)</f>
        <v>101112</v>
      </c>
      <c r="F120" s="391">
        <f>E120</f>
        <v>101112</v>
      </c>
    </row>
    <row r="121" spans="1:6" x14ac:dyDescent="0.25">
      <c r="A121" s="389"/>
      <c r="B121" s="72" t="s">
        <v>138</v>
      </c>
      <c r="C121" s="196">
        <v>12</v>
      </c>
      <c r="D121" s="197">
        <v>6721</v>
      </c>
      <c r="E121" s="117">
        <f>ROUND((C121*D121),0)</f>
        <v>80652</v>
      </c>
      <c r="F121" s="392"/>
    </row>
    <row r="122" spans="1:6" ht="24" x14ac:dyDescent="0.25">
      <c r="A122" s="389"/>
      <c r="B122" s="72" t="s">
        <v>139</v>
      </c>
      <c r="C122" s="208">
        <v>0</v>
      </c>
      <c r="D122" s="209">
        <f>E121+E125+E126</f>
        <v>101112</v>
      </c>
      <c r="E122" s="117">
        <f>ROUND(C122*D122,0)</f>
        <v>0</v>
      </c>
      <c r="F122" s="392"/>
    </row>
    <row r="123" spans="1:6" x14ac:dyDescent="0.25">
      <c r="A123" s="389"/>
      <c r="B123" s="72"/>
      <c r="C123" s="196"/>
      <c r="D123" s="197"/>
      <c r="E123" s="117">
        <f>ROUND((C123*D123),0)</f>
        <v>0</v>
      </c>
      <c r="F123" s="392"/>
    </row>
    <row r="124" spans="1:6" x14ac:dyDescent="0.25">
      <c r="A124" s="389"/>
      <c r="B124" s="72"/>
      <c r="C124" s="196"/>
      <c r="D124" s="197"/>
      <c r="E124" s="117">
        <f>ROUND((C124*D124),0)</f>
        <v>0</v>
      </c>
      <c r="F124" s="392"/>
    </row>
    <row r="125" spans="1:6" x14ac:dyDescent="0.25">
      <c r="A125" s="389"/>
      <c r="B125" s="72" t="s">
        <v>142</v>
      </c>
      <c r="C125" s="196">
        <v>1</v>
      </c>
      <c r="D125" s="197">
        <v>20460</v>
      </c>
      <c r="E125" s="117">
        <f>ROUND((C125*D125),0)</f>
        <v>20460</v>
      </c>
      <c r="F125" s="392"/>
    </row>
    <row r="126" spans="1:6" ht="15.75" thickBot="1" x14ac:dyDescent="0.3">
      <c r="A126" s="390"/>
      <c r="B126" s="90" t="s">
        <v>143</v>
      </c>
      <c r="C126" s="201">
        <v>1</v>
      </c>
      <c r="D126" s="202">
        <v>0</v>
      </c>
      <c r="E126" s="210">
        <f>ROUND((C126*D126),)</f>
        <v>0</v>
      </c>
      <c r="F126" s="393"/>
    </row>
    <row r="127" spans="1:6" ht="26.25" thickBot="1" x14ac:dyDescent="0.3">
      <c r="A127" s="71">
        <v>4040</v>
      </c>
      <c r="B127" s="112" t="s">
        <v>144</v>
      </c>
      <c r="C127" s="211">
        <v>1</v>
      </c>
      <c r="D127" s="212">
        <v>5000</v>
      </c>
      <c r="E127" s="114">
        <f>C127*D127</f>
        <v>5000</v>
      </c>
      <c r="F127" s="75">
        <f>E127</f>
        <v>5000</v>
      </c>
    </row>
    <row r="128" spans="1:6" ht="25.5" x14ac:dyDescent="0.25">
      <c r="A128" s="388">
        <v>4110</v>
      </c>
      <c r="B128" s="67" t="s">
        <v>124</v>
      </c>
      <c r="C128" s="203"/>
      <c r="D128" s="204"/>
      <c r="E128" s="59">
        <f>SUM(E129:E137)</f>
        <v>66447</v>
      </c>
      <c r="F128" s="391">
        <f>E128</f>
        <v>66447</v>
      </c>
    </row>
    <row r="129" spans="1:6" x14ac:dyDescent="0.25">
      <c r="A129" s="389"/>
      <c r="B129" s="72" t="s">
        <v>145</v>
      </c>
      <c r="C129" s="196">
        <v>12</v>
      </c>
      <c r="D129" s="209">
        <v>240.57</v>
      </c>
      <c r="E129" s="74">
        <f t="shared" ref="E129:E137" si="9">ROUND(C129*D129,0)</f>
        <v>2887</v>
      </c>
      <c r="F129" s="392"/>
    </row>
    <row r="130" spans="1:6" x14ac:dyDescent="0.25">
      <c r="A130" s="389"/>
      <c r="B130" s="72" t="s">
        <v>146</v>
      </c>
      <c r="C130" s="196">
        <v>12</v>
      </c>
      <c r="D130" s="209">
        <v>1180.21</v>
      </c>
      <c r="E130" s="74">
        <f t="shared" si="9"/>
        <v>14163</v>
      </c>
      <c r="F130" s="392"/>
    </row>
    <row r="131" spans="1:6" ht="24" x14ac:dyDescent="0.25">
      <c r="A131" s="389"/>
      <c r="B131" s="72" t="s">
        <v>147</v>
      </c>
      <c r="C131" s="196">
        <v>12</v>
      </c>
      <c r="D131" s="209">
        <v>3037</v>
      </c>
      <c r="E131" s="74">
        <f t="shared" si="9"/>
        <v>36444</v>
      </c>
      <c r="F131" s="392"/>
    </row>
    <row r="132" spans="1:6" x14ac:dyDescent="0.25">
      <c r="A132" s="389"/>
      <c r="B132" s="72" t="s">
        <v>148</v>
      </c>
      <c r="C132" s="196">
        <v>12</v>
      </c>
      <c r="D132" s="209">
        <v>560.16</v>
      </c>
      <c r="E132" s="74">
        <f t="shared" si="9"/>
        <v>6722</v>
      </c>
      <c r="F132" s="392"/>
    </row>
    <row r="133" spans="1:6" x14ac:dyDescent="0.25">
      <c r="A133" s="389"/>
      <c r="B133" s="72" t="s">
        <v>255</v>
      </c>
      <c r="C133" s="196">
        <v>1</v>
      </c>
      <c r="D133" s="209">
        <v>436.01</v>
      </c>
      <c r="E133" s="74">
        <f t="shared" si="9"/>
        <v>436</v>
      </c>
      <c r="F133" s="392"/>
    </row>
    <row r="134" spans="1:6" x14ac:dyDescent="0.25">
      <c r="A134" s="389"/>
      <c r="B134" s="72"/>
      <c r="C134" s="196"/>
      <c r="D134" s="197"/>
      <c r="E134" s="74">
        <f t="shared" si="9"/>
        <v>0</v>
      </c>
      <c r="F134" s="392"/>
    </row>
    <row r="135" spans="1:6" ht="24" x14ac:dyDescent="0.25">
      <c r="A135" s="389"/>
      <c r="B135" s="72" t="s">
        <v>150</v>
      </c>
      <c r="C135" s="196">
        <v>10</v>
      </c>
      <c r="D135" s="214">
        <f>D148*H3</f>
        <v>0</v>
      </c>
      <c r="E135" s="74">
        <f t="shared" si="9"/>
        <v>0</v>
      </c>
      <c r="F135" s="392"/>
    </row>
    <row r="136" spans="1:6" ht="24" x14ac:dyDescent="0.25">
      <c r="A136" s="389"/>
      <c r="B136" s="72" t="s">
        <v>227</v>
      </c>
      <c r="C136" s="196">
        <v>1</v>
      </c>
      <c r="D136" s="214">
        <v>1756</v>
      </c>
      <c r="E136" s="109">
        <f t="shared" si="9"/>
        <v>1756</v>
      </c>
      <c r="F136" s="392"/>
    </row>
    <row r="137" spans="1:6" ht="36.75" thickBot="1" x14ac:dyDescent="0.3">
      <c r="A137" s="390"/>
      <c r="B137" s="90" t="s">
        <v>151</v>
      </c>
      <c r="C137" s="201">
        <v>1</v>
      </c>
      <c r="D137" s="215">
        <v>4038.8</v>
      </c>
      <c r="E137" s="82">
        <f t="shared" si="9"/>
        <v>4039</v>
      </c>
      <c r="F137" s="393"/>
    </row>
    <row r="138" spans="1:6" x14ac:dyDescent="0.25">
      <c r="A138" s="388">
        <v>4120</v>
      </c>
      <c r="B138" s="67" t="s">
        <v>152</v>
      </c>
      <c r="C138" s="203"/>
      <c r="D138" s="204"/>
      <c r="E138" s="59">
        <f>SUM(E139:E147)</f>
        <v>9332</v>
      </c>
      <c r="F138" s="391">
        <f>E138</f>
        <v>9332</v>
      </c>
    </row>
    <row r="139" spans="1:6" x14ac:dyDescent="0.25">
      <c r="A139" s="389"/>
      <c r="B139" s="72" t="s">
        <v>153</v>
      </c>
      <c r="C139" s="196">
        <v>12</v>
      </c>
      <c r="D139" s="209">
        <v>33.57</v>
      </c>
      <c r="E139" s="74">
        <f t="shared" ref="E139:E147" si="10">ROUND(C139*D139,0)</f>
        <v>403</v>
      </c>
      <c r="F139" s="392"/>
    </row>
    <row r="140" spans="1:6" ht="24" x14ac:dyDescent="0.25">
      <c r="A140" s="389"/>
      <c r="B140" s="72" t="s">
        <v>154</v>
      </c>
      <c r="C140" s="196">
        <v>12</v>
      </c>
      <c r="D140" s="209">
        <v>164.66</v>
      </c>
      <c r="E140" s="74">
        <f t="shared" si="10"/>
        <v>1976</v>
      </c>
      <c r="F140" s="392"/>
    </row>
    <row r="141" spans="1:6" ht="24" x14ac:dyDescent="0.25">
      <c r="A141" s="389"/>
      <c r="B141" s="72" t="s">
        <v>155</v>
      </c>
      <c r="C141" s="196">
        <v>12</v>
      </c>
      <c r="D141" s="209">
        <v>428.75</v>
      </c>
      <c r="E141" s="74">
        <f t="shared" si="10"/>
        <v>5145</v>
      </c>
      <c r="F141" s="392"/>
    </row>
    <row r="142" spans="1:6" ht="24" x14ac:dyDescent="0.25">
      <c r="A142" s="389"/>
      <c r="B142" s="72" t="s">
        <v>156</v>
      </c>
      <c r="C142" s="196">
        <v>12</v>
      </c>
      <c r="D142" s="209">
        <v>78.16</v>
      </c>
      <c r="E142" s="74">
        <f t="shared" si="10"/>
        <v>938</v>
      </c>
      <c r="F142" s="392"/>
    </row>
    <row r="143" spans="1:6" x14ac:dyDescent="0.25">
      <c r="A143" s="389"/>
      <c r="B143" s="72" t="s">
        <v>256</v>
      </c>
      <c r="C143" s="196">
        <v>1</v>
      </c>
      <c r="D143" s="209">
        <v>60.68</v>
      </c>
      <c r="E143" s="74">
        <f t="shared" si="10"/>
        <v>61</v>
      </c>
      <c r="F143" s="392"/>
    </row>
    <row r="144" spans="1:6" x14ac:dyDescent="0.25">
      <c r="A144" s="389"/>
      <c r="B144" s="72"/>
      <c r="C144" s="196"/>
      <c r="D144" s="197"/>
      <c r="E144" s="74">
        <f t="shared" si="10"/>
        <v>0</v>
      </c>
      <c r="F144" s="392"/>
    </row>
    <row r="145" spans="1:6" ht="24" x14ac:dyDescent="0.25">
      <c r="A145" s="389"/>
      <c r="B145" s="108" t="s">
        <v>157</v>
      </c>
      <c r="C145" s="216">
        <v>10</v>
      </c>
      <c r="D145" s="217">
        <f>D148*H3</f>
        <v>0</v>
      </c>
      <c r="E145" s="109">
        <f>ROUND(C145*D145,0)</f>
        <v>0</v>
      </c>
      <c r="F145" s="392"/>
    </row>
    <row r="146" spans="1:6" ht="24" x14ac:dyDescent="0.25">
      <c r="A146" s="428"/>
      <c r="B146" s="72" t="s">
        <v>228</v>
      </c>
      <c r="C146" s="196">
        <v>1</v>
      </c>
      <c r="D146" s="214">
        <v>245</v>
      </c>
      <c r="E146" s="74">
        <f>ROUND(C146*D146,0)</f>
        <v>245</v>
      </c>
      <c r="F146" s="429"/>
    </row>
    <row r="147" spans="1:6" ht="24" customHeight="1" thickBot="1" x14ac:dyDescent="0.3">
      <c r="A147" s="390"/>
      <c r="B147" s="90" t="s">
        <v>158</v>
      </c>
      <c r="C147" s="201">
        <v>1</v>
      </c>
      <c r="D147" s="219">
        <v>563.5</v>
      </c>
      <c r="E147" s="81">
        <f t="shared" si="10"/>
        <v>564</v>
      </c>
      <c r="F147" s="393"/>
    </row>
    <row r="148" spans="1:6" ht="15.75" hidden="1" thickBot="1" x14ac:dyDescent="0.3">
      <c r="A148" s="101">
        <v>4170</v>
      </c>
      <c r="B148" s="102" t="s">
        <v>159</v>
      </c>
      <c r="C148" s="220">
        <v>0</v>
      </c>
      <c r="D148" s="221">
        <v>0</v>
      </c>
      <c r="E148" s="104">
        <f>C148*D148</f>
        <v>0</v>
      </c>
      <c r="F148" s="105">
        <f>E148</f>
        <v>0</v>
      </c>
    </row>
    <row r="149" spans="1:6" x14ac:dyDescent="0.25">
      <c r="A149" s="222">
        <v>4210</v>
      </c>
      <c r="B149" s="223" t="s">
        <v>160</v>
      </c>
      <c r="C149" s="224"/>
      <c r="D149" s="225"/>
      <c r="E149" s="226">
        <f>SUM(E150:E151)</f>
        <v>1000</v>
      </c>
      <c r="F149" s="400">
        <f>E149</f>
        <v>1000</v>
      </c>
    </row>
    <row r="150" spans="1:6" ht="36" x14ac:dyDescent="0.25">
      <c r="A150" s="227"/>
      <c r="B150" s="106" t="s">
        <v>257</v>
      </c>
      <c r="C150" s="228">
        <v>1</v>
      </c>
      <c r="D150" s="229">
        <v>500</v>
      </c>
      <c r="E150" s="230">
        <f>C150*D150</f>
        <v>500</v>
      </c>
      <c r="F150" s="401"/>
    </row>
    <row r="151" spans="1:6" ht="15.75" thickBot="1" x14ac:dyDescent="0.3">
      <c r="A151" s="231"/>
      <c r="B151" s="232" t="s">
        <v>365</v>
      </c>
      <c r="C151" s="233">
        <v>1</v>
      </c>
      <c r="D151" s="234">
        <v>500</v>
      </c>
      <c r="E151" s="230">
        <f>C151*D151</f>
        <v>500</v>
      </c>
      <c r="F151" s="402"/>
    </row>
    <row r="152" spans="1:6" x14ac:dyDescent="0.25">
      <c r="A152" s="388">
        <v>4270</v>
      </c>
      <c r="B152" s="93" t="s">
        <v>258</v>
      </c>
      <c r="C152" s="194"/>
      <c r="D152" s="195"/>
      <c r="E152" s="69">
        <f>SUM(E153:E153)</f>
        <v>1000</v>
      </c>
      <c r="F152" s="391">
        <f>E152</f>
        <v>1000</v>
      </c>
    </row>
    <row r="153" spans="1:6" ht="24.75" thickBot="1" x14ac:dyDescent="0.3">
      <c r="A153" s="390"/>
      <c r="B153" s="79" t="s">
        <v>259</v>
      </c>
      <c r="C153" s="235">
        <v>1</v>
      </c>
      <c r="D153" s="236">
        <v>1000</v>
      </c>
      <c r="E153" s="82">
        <f>C153*D153</f>
        <v>1000</v>
      </c>
      <c r="F153" s="393"/>
    </row>
    <row r="154" spans="1:6" ht="15.75" thickBot="1" x14ac:dyDescent="0.3">
      <c r="A154" s="66">
        <v>4280</v>
      </c>
      <c r="B154" s="93" t="s">
        <v>36</v>
      </c>
      <c r="C154" s="194">
        <v>1</v>
      </c>
      <c r="D154" s="195">
        <v>300</v>
      </c>
      <c r="E154" s="69">
        <f>C154*D154</f>
        <v>300</v>
      </c>
      <c r="F154" s="70">
        <f>E154</f>
        <v>300</v>
      </c>
    </row>
    <row r="155" spans="1:6" x14ac:dyDescent="0.25">
      <c r="A155" s="388">
        <v>4300</v>
      </c>
      <c r="B155" s="93" t="s">
        <v>37</v>
      </c>
      <c r="C155" s="194"/>
      <c r="D155" s="195"/>
      <c r="E155" s="69">
        <f>SUM(E156:E157)</f>
        <v>10720</v>
      </c>
      <c r="F155" s="391">
        <f>E155</f>
        <v>10720</v>
      </c>
    </row>
    <row r="156" spans="1:6" ht="30" x14ac:dyDescent="0.25">
      <c r="A156" s="389"/>
      <c r="B156" s="183" t="s">
        <v>366</v>
      </c>
      <c r="C156" s="237">
        <v>1</v>
      </c>
      <c r="D156" s="238">
        <v>10000</v>
      </c>
      <c r="E156" s="74">
        <f>C156*D156</f>
        <v>10000</v>
      </c>
      <c r="F156" s="392"/>
    </row>
    <row r="157" spans="1:6" ht="15.75" thickBot="1" x14ac:dyDescent="0.3">
      <c r="A157" s="390"/>
      <c r="B157" s="79" t="s">
        <v>260</v>
      </c>
      <c r="C157" s="235">
        <v>12</v>
      </c>
      <c r="D157" s="236">
        <v>60</v>
      </c>
      <c r="E157" s="81">
        <f>C157*D157</f>
        <v>720</v>
      </c>
      <c r="F157" s="393"/>
    </row>
    <row r="158" spans="1:6" ht="15.75" thickBot="1" x14ac:dyDescent="0.3">
      <c r="A158" s="218">
        <v>4440</v>
      </c>
      <c r="B158" s="239" t="s">
        <v>173</v>
      </c>
      <c r="C158" s="211">
        <v>1</v>
      </c>
      <c r="D158" s="240">
        <v>19662</v>
      </c>
      <c r="E158" s="114">
        <f>D158*C158</f>
        <v>19662</v>
      </c>
      <c r="F158" s="75">
        <f>E158</f>
        <v>19662</v>
      </c>
    </row>
    <row r="159" spans="1:6" ht="25.5" x14ac:dyDescent="0.25">
      <c r="A159" s="388">
        <v>4710</v>
      </c>
      <c r="B159" s="223" t="s">
        <v>38</v>
      </c>
      <c r="C159" s="194"/>
      <c r="D159" s="195"/>
      <c r="E159" s="69">
        <f>SUM(E160:E165)</f>
        <v>2682</v>
      </c>
      <c r="F159" s="391">
        <f>E159</f>
        <v>2682</v>
      </c>
    </row>
    <row r="160" spans="1:6" x14ac:dyDescent="0.25">
      <c r="A160" s="389"/>
      <c r="B160" s="106" t="s">
        <v>261</v>
      </c>
      <c r="C160" s="196">
        <v>12</v>
      </c>
      <c r="D160" s="197">
        <v>11</v>
      </c>
      <c r="E160" s="185">
        <f t="shared" ref="E160:E165" si="11">C160*D160</f>
        <v>132</v>
      </c>
      <c r="F160" s="392"/>
    </row>
    <row r="161" spans="1:6" x14ac:dyDescent="0.25">
      <c r="A161" s="389"/>
      <c r="B161" s="106" t="s">
        <v>262</v>
      </c>
      <c r="C161" s="196">
        <v>12</v>
      </c>
      <c r="D161" s="197">
        <v>130</v>
      </c>
      <c r="E161" s="185">
        <f t="shared" si="11"/>
        <v>1560</v>
      </c>
      <c r="F161" s="392"/>
    </row>
    <row r="162" spans="1:6" x14ac:dyDescent="0.25">
      <c r="A162" s="389"/>
      <c r="B162" s="106" t="s">
        <v>263</v>
      </c>
      <c r="C162" s="196">
        <v>12</v>
      </c>
      <c r="D162" s="197">
        <v>55</v>
      </c>
      <c r="E162" s="185">
        <f t="shared" si="11"/>
        <v>660</v>
      </c>
      <c r="F162" s="392"/>
    </row>
    <row r="163" spans="1:6" x14ac:dyDescent="0.25">
      <c r="A163" s="389"/>
      <c r="B163" s="106" t="s">
        <v>264</v>
      </c>
      <c r="C163" s="196">
        <v>1</v>
      </c>
      <c r="D163" s="197">
        <v>30</v>
      </c>
      <c r="E163" s="185">
        <f t="shared" si="11"/>
        <v>30</v>
      </c>
      <c r="F163" s="392"/>
    </row>
    <row r="164" spans="1:6" x14ac:dyDescent="0.25">
      <c r="A164" s="389"/>
      <c r="B164" s="106" t="s">
        <v>265</v>
      </c>
      <c r="C164" s="196">
        <v>1</v>
      </c>
      <c r="D164" s="197">
        <v>100</v>
      </c>
      <c r="E164" s="185">
        <f t="shared" si="11"/>
        <v>100</v>
      </c>
      <c r="F164" s="392"/>
    </row>
    <row r="165" spans="1:6" ht="24.75" thickBot="1" x14ac:dyDescent="0.3">
      <c r="A165" s="390"/>
      <c r="B165" s="241" t="s">
        <v>266</v>
      </c>
      <c r="C165" s="201">
        <v>1</v>
      </c>
      <c r="D165" s="202">
        <v>200</v>
      </c>
      <c r="E165" s="111">
        <f t="shared" si="11"/>
        <v>200</v>
      </c>
      <c r="F165" s="393"/>
    </row>
    <row r="166" spans="1:6" ht="25.5" x14ac:dyDescent="0.25">
      <c r="A166" s="388">
        <v>4790</v>
      </c>
      <c r="B166" s="118" t="s">
        <v>39</v>
      </c>
      <c r="C166" s="203"/>
      <c r="D166" s="204"/>
      <c r="E166" s="59">
        <f>SUM(E167:E174)</f>
        <v>250763</v>
      </c>
      <c r="F166" s="424">
        <f>E166</f>
        <v>250763</v>
      </c>
    </row>
    <row r="167" spans="1:6" x14ac:dyDescent="0.25">
      <c r="A167" s="389"/>
      <c r="B167" s="119" t="s">
        <v>182</v>
      </c>
      <c r="C167" s="196">
        <v>12</v>
      </c>
      <c r="D167" s="197">
        <v>17500</v>
      </c>
      <c r="E167" s="117">
        <f>C167*D167</f>
        <v>210000</v>
      </c>
      <c r="F167" s="426"/>
    </row>
    <row r="168" spans="1:6" x14ac:dyDescent="0.25">
      <c r="A168" s="389"/>
      <c r="B168" s="119" t="s">
        <v>221</v>
      </c>
      <c r="C168" s="208">
        <v>0.01</v>
      </c>
      <c r="D168" s="209">
        <f>E167+E169+E173+E174</f>
        <v>248280</v>
      </c>
      <c r="E168" s="117">
        <f>ROUND(C168*D168,0)</f>
        <v>2483</v>
      </c>
      <c r="F168" s="426"/>
    </row>
    <row r="169" spans="1:6" x14ac:dyDescent="0.25">
      <c r="A169" s="389"/>
      <c r="B169" s="119" t="s">
        <v>184</v>
      </c>
      <c r="C169" s="196">
        <v>12</v>
      </c>
      <c r="D169" s="197">
        <v>3190</v>
      </c>
      <c r="E169" s="117">
        <f>C169*D169</f>
        <v>38280</v>
      </c>
      <c r="F169" s="426"/>
    </row>
    <row r="170" spans="1:6" x14ac:dyDescent="0.25">
      <c r="A170" s="389"/>
      <c r="B170" s="72"/>
      <c r="C170" s="196"/>
      <c r="D170" s="197"/>
      <c r="E170" s="117">
        <f>ROUND(C170*D170,0)</f>
        <v>0</v>
      </c>
      <c r="F170" s="426"/>
    </row>
    <row r="171" spans="1:6" x14ac:dyDescent="0.25">
      <c r="A171" s="389"/>
      <c r="B171" s="72"/>
      <c r="C171" s="196"/>
      <c r="D171" s="197"/>
      <c r="E171" s="117">
        <f>ROUND(C171*D171,0)</f>
        <v>0</v>
      </c>
      <c r="F171" s="426"/>
    </row>
    <row r="172" spans="1:6" x14ac:dyDescent="0.25">
      <c r="A172" s="389"/>
      <c r="B172" s="72" t="s">
        <v>267</v>
      </c>
      <c r="C172" s="196"/>
      <c r="D172" s="197">
        <v>10000</v>
      </c>
      <c r="E172" s="117">
        <f>ROUND(C172*D172,0)</f>
        <v>0</v>
      </c>
      <c r="F172" s="426"/>
    </row>
    <row r="173" spans="1:6" x14ac:dyDescent="0.25">
      <c r="A173" s="389"/>
      <c r="B173" s="119" t="s">
        <v>202</v>
      </c>
      <c r="C173" s="196">
        <v>1</v>
      </c>
      <c r="D173" s="197">
        <v>0</v>
      </c>
      <c r="E173" s="117">
        <f>ROUND(C173*D173,0)</f>
        <v>0</v>
      </c>
      <c r="F173" s="426"/>
    </row>
    <row r="174" spans="1:6" ht="15.75" thickBot="1" x14ac:dyDescent="0.3">
      <c r="A174" s="390"/>
      <c r="B174" s="242" t="s">
        <v>209</v>
      </c>
      <c r="C174" s="235">
        <v>1</v>
      </c>
      <c r="D174" s="236">
        <v>0</v>
      </c>
      <c r="E174" s="210">
        <f>C174*D174</f>
        <v>0</v>
      </c>
      <c r="F174" s="427"/>
    </row>
    <row r="175" spans="1:6" ht="26.25" thickBot="1" x14ac:dyDescent="0.3">
      <c r="A175" s="101">
        <v>4800</v>
      </c>
      <c r="B175" s="115" t="s">
        <v>101</v>
      </c>
      <c r="C175" s="220">
        <v>1</v>
      </c>
      <c r="D175" s="221">
        <v>18000</v>
      </c>
      <c r="E175" s="104">
        <f>C175*D175</f>
        <v>18000</v>
      </c>
      <c r="F175" s="105">
        <f>E175</f>
        <v>18000</v>
      </c>
    </row>
    <row r="176" spans="1:6" x14ac:dyDescent="0.25">
      <c r="A176" s="404"/>
      <c r="B176" s="405"/>
      <c r="C176" s="405"/>
      <c r="D176" s="405"/>
      <c r="E176" s="405"/>
      <c r="F176" s="406"/>
    </row>
    <row r="177" spans="1:6" x14ac:dyDescent="0.25">
      <c r="A177" s="243">
        <v>801</v>
      </c>
      <c r="B177" s="244" t="s">
        <v>188</v>
      </c>
      <c r="C177" s="245"/>
      <c r="D177" s="246"/>
      <c r="E177" s="246">
        <f>SUM(E179+E183+E191+E199+E200+E209)</f>
        <v>33936</v>
      </c>
      <c r="F177" s="247">
        <f>SUM(F179:F209)</f>
        <v>33936</v>
      </c>
    </row>
    <row r="178" spans="1:6" ht="15.75" thickBot="1" x14ac:dyDescent="0.3">
      <c r="A178" s="407"/>
      <c r="B178" s="408"/>
      <c r="C178" s="408"/>
      <c r="D178" s="408"/>
      <c r="E178" s="408"/>
      <c r="F178" s="409"/>
    </row>
    <row r="179" spans="1:6" x14ac:dyDescent="0.25">
      <c r="A179" s="394">
        <v>3020</v>
      </c>
      <c r="B179" s="118" t="s">
        <v>189</v>
      </c>
      <c r="C179" s="131"/>
      <c r="D179" s="132"/>
      <c r="E179" s="132">
        <f>SUM(E180:E182)</f>
        <v>169</v>
      </c>
      <c r="F179" s="397">
        <f>E179</f>
        <v>169</v>
      </c>
    </row>
    <row r="180" spans="1:6" x14ac:dyDescent="0.25">
      <c r="A180" s="395"/>
      <c r="B180" s="72" t="s">
        <v>190</v>
      </c>
      <c r="C180" s="89">
        <v>12</v>
      </c>
      <c r="D180" s="134">
        <v>0</v>
      </c>
      <c r="E180" s="134">
        <f>ROUND(C180*D180,0)</f>
        <v>0</v>
      </c>
      <c r="F180" s="398"/>
    </row>
    <row r="181" spans="1:6" x14ac:dyDescent="0.25">
      <c r="A181" s="395"/>
      <c r="B181" s="72" t="s">
        <v>311</v>
      </c>
      <c r="C181" s="89">
        <v>1</v>
      </c>
      <c r="D181" s="134">
        <f>72.8+41.24</f>
        <v>114.03999999999999</v>
      </c>
      <c r="E181" s="134">
        <f>ROUND(C181*D181,0)</f>
        <v>114</v>
      </c>
      <c r="F181" s="398"/>
    </row>
    <row r="182" spans="1:6" ht="15.75" thickBot="1" x14ac:dyDescent="0.3">
      <c r="A182" s="396"/>
      <c r="B182" s="79" t="s">
        <v>141</v>
      </c>
      <c r="C182" s="135">
        <v>1</v>
      </c>
      <c r="D182" s="136">
        <v>55</v>
      </c>
      <c r="E182" s="134">
        <f>ROUND(C182*D182,0)</f>
        <v>55</v>
      </c>
      <c r="F182" s="399"/>
    </row>
    <row r="183" spans="1:6" ht="25.5" x14ac:dyDescent="0.25">
      <c r="A183" s="394">
        <v>4110</v>
      </c>
      <c r="B183" s="118" t="s">
        <v>124</v>
      </c>
      <c r="C183" s="131"/>
      <c r="D183" s="132"/>
      <c r="E183" s="132">
        <f>SUM(E184:E190)</f>
        <v>4685</v>
      </c>
      <c r="F183" s="397">
        <f>E183</f>
        <v>4685</v>
      </c>
    </row>
    <row r="184" spans="1:6" x14ac:dyDescent="0.25">
      <c r="A184" s="395"/>
      <c r="B184" s="72" t="s">
        <v>191</v>
      </c>
      <c r="C184" s="89">
        <v>12</v>
      </c>
      <c r="D184" s="137">
        <f>D180*H1</f>
        <v>0</v>
      </c>
      <c r="E184" s="134">
        <f t="shared" ref="E184:E190" si="12">ROUND(C184*D184,0)</f>
        <v>0</v>
      </c>
      <c r="F184" s="398"/>
    </row>
    <row r="185" spans="1:6" ht="24" x14ac:dyDescent="0.25">
      <c r="A185" s="395"/>
      <c r="B185" s="108" t="s">
        <v>147</v>
      </c>
      <c r="C185" s="89">
        <v>12</v>
      </c>
      <c r="D185" s="137">
        <f>D201*H1</f>
        <v>0</v>
      </c>
      <c r="E185" s="134">
        <f t="shared" si="12"/>
        <v>0</v>
      </c>
      <c r="F185" s="398"/>
    </row>
    <row r="186" spans="1:6" x14ac:dyDescent="0.25">
      <c r="A186" s="395"/>
      <c r="B186" s="108" t="s">
        <v>192</v>
      </c>
      <c r="C186" s="89">
        <v>12</v>
      </c>
      <c r="D186" s="137">
        <v>263.39999999999998</v>
      </c>
      <c r="E186" s="134">
        <f t="shared" si="12"/>
        <v>3161</v>
      </c>
      <c r="F186" s="398"/>
    </row>
    <row r="187" spans="1:6" ht="24" x14ac:dyDescent="0.25">
      <c r="A187" s="395"/>
      <c r="B187" s="108" t="s">
        <v>193</v>
      </c>
      <c r="C187" s="89">
        <v>1</v>
      </c>
      <c r="D187" s="137">
        <v>31.61</v>
      </c>
      <c r="E187" s="134">
        <f t="shared" si="12"/>
        <v>32</v>
      </c>
      <c r="F187" s="398"/>
    </row>
    <row r="188" spans="1:6" ht="24" x14ac:dyDescent="0.25">
      <c r="A188" s="395"/>
      <c r="B188" s="108" t="s">
        <v>227</v>
      </c>
      <c r="C188" s="248">
        <v>1</v>
      </c>
      <c r="D188" s="249">
        <v>263.39999999999998</v>
      </c>
      <c r="E188" s="250">
        <f t="shared" si="12"/>
        <v>263</v>
      </c>
      <c r="F188" s="398"/>
    </row>
    <row r="189" spans="1:6" x14ac:dyDescent="0.25">
      <c r="A189" s="395"/>
      <c r="B189" s="72"/>
      <c r="C189" s="89"/>
      <c r="D189" s="134"/>
      <c r="E189" s="134">
        <f t="shared" si="12"/>
        <v>0</v>
      </c>
      <c r="F189" s="398"/>
    </row>
    <row r="190" spans="1:6" ht="24.75" thickBot="1" x14ac:dyDescent="0.3">
      <c r="A190" s="396"/>
      <c r="B190" s="90" t="s">
        <v>194</v>
      </c>
      <c r="C190" s="138">
        <v>1</v>
      </c>
      <c r="D190" s="139">
        <v>1229.2</v>
      </c>
      <c r="E190" s="134">
        <f t="shared" si="12"/>
        <v>1229</v>
      </c>
      <c r="F190" s="399"/>
    </row>
    <row r="191" spans="1:6" x14ac:dyDescent="0.25">
      <c r="A191" s="394">
        <v>4120</v>
      </c>
      <c r="B191" s="118" t="s">
        <v>152</v>
      </c>
      <c r="C191" s="131"/>
      <c r="D191" s="132"/>
      <c r="E191" s="132">
        <f>SUM(E192:E198)</f>
        <v>654</v>
      </c>
      <c r="F191" s="397">
        <f>E191</f>
        <v>654</v>
      </c>
    </row>
    <row r="192" spans="1:6" x14ac:dyDescent="0.25">
      <c r="A192" s="395"/>
      <c r="B192" s="72" t="s">
        <v>195</v>
      </c>
      <c r="C192" s="89">
        <v>12</v>
      </c>
      <c r="D192" s="137">
        <f>D180*H3</f>
        <v>0</v>
      </c>
      <c r="E192" s="134">
        <f>ROUND(C192*D192,0)</f>
        <v>0</v>
      </c>
      <c r="F192" s="398"/>
    </row>
    <row r="193" spans="1:6" ht="24" x14ac:dyDescent="0.25">
      <c r="A193" s="395"/>
      <c r="B193" s="72" t="s">
        <v>196</v>
      </c>
      <c r="C193" s="89">
        <v>12</v>
      </c>
      <c r="D193" s="137">
        <f>D201*H3</f>
        <v>0</v>
      </c>
      <c r="E193" s="134">
        <f>ROUND(116*D193,0)</f>
        <v>0</v>
      </c>
      <c r="F193" s="398"/>
    </row>
    <row r="194" spans="1:6" ht="24" x14ac:dyDescent="0.25">
      <c r="A194" s="395"/>
      <c r="B194" s="72" t="s">
        <v>197</v>
      </c>
      <c r="C194" s="89">
        <v>12</v>
      </c>
      <c r="D194" s="137">
        <v>36.75</v>
      </c>
      <c r="E194" s="134">
        <f t="shared" ref="E194:E199" si="13">ROUND(C194*D194,0)</f>
        <v>441</v>
      </c>
      <c r="F194" s="398"/>
    </row>
    <row r="195" spans="1:6" ht="24" x14ac:dyDescent="0.25">
      <c r="A195" s="395"/>
      <c r="B195" s="72" t="s">
        <v>199</v>
      </c>
      <c r="C195" s="89">
        <v>1</v>
      </c>
      <c r="D195" s="137">
        <v>4.41</v>
      </c>
      <c r="E195" s="134">
        <f t="shared" si="13"/>
        <v>4</v>
      </c>
      <c r="F195" s="398"/>
    </row>
    <row r="196" spans="1:6" ht="24" x14ac:dyDescent="0.25">
      <c r="A196" s="395"/>
      <c r="B196" s="72" t="s">
        <v>228</v>
      </c>
      <c r="C196" s="89">
        <v>1</v>
      </c>
      <c r="D196" s="137">
        <v>36.75</v>
      </c>
      <c r="E196" s="134">
        <f t="shared" si="13"/>
        <v>37</v>
      </c>
      <c r="F196" s="398"/>
    </row>
    <row r="197" spans="1:6" x14ac:dyDescent="0.25">
      <c r="A197" s="395"/>
      <c r="B197" s="72"/>
      <c r="C197" s="89"/>
      <c r="D197" s="134"/>
      <c r="E197" s="134">
        <f t="shared" si="13"/>
        <v>0</v>
      </c>
      <c r="F197" s="398"/>
    </row>
    <row r="198" spans="1:6" ht="24.75" thickBot="1" x14ac:dyDescent="0.3">
      <c r="A198" s="395"/>
      <c r="B198" s="148" t="s">
        <v>200</v>
      </c>
      <c r="C198" s="251">
        <v>1</v>
      </c>
      <c r="D198" s="252">
        <v>171.5</v>
      </c>
      <c r="E198" s="250">
        <f t="shared" si="13"/>
        <v>172</v>
      </c>
      <c r="F198" s="398"/>
    </row>
    <row r="199" spans="1:6" ht="15.75" thickBot="1" x14ac:dyDescent="0.3">
      <c r="A199" s="144">
        <v>4440</v>
      </c>
      <c r="B199" s="253" t="s">
        <v>173</v>
      </c>
      <c r="C199" s="145">
        <v>1</v>
      </c>
      <c r="D199" s="146">
        <v>0</v>
      </c>
      <c r="E199" s="146">
        <f t="shared" si="13"/>
        <v>0</v>
      </c>
      <c r="F199" s="147">
        <f>E199</f>
        <v>0</v>
      </c>
    </row>
    <row r="200" spans="1:6" ht="25.5" x14ac:dyDescent="0.25">
      <c r="A200" s="394">
        <v>4790</v>
      </c>
      <c r="B200" s="140" t="s">
        <v>87</v>
      </c>
      <c r="C200" s="141"/>
      <c r="D200" s="142"/>
      <c r="E200" s="142">
        <f>SUM(E201:E208)</f>
        <v>21428</v>
      </c>
      <c r="F200" s="397">
        <f>E200</f>
        <v>21428</v>
      </c>
    </row>
    <row r="201" spans="1:6" x14ac:dyDescent="0.25">
      <c r="A201" s="395"/>
      <c r="B201" s="119" t="s">
        <v>201</v>
      </c>
      <c r="C201" s="89">
        <v>12</v>
      </c>
      <c r="D201" s="134">
        <v>0</v>
      </c>
      <c r="E201" s="134">
        <f>ROUND((C201*D201),0)</f>
        <v>0</v>
      </c>
      <c r="F201" s="398"/>
    </row>
    <row r="202" spans="1:6" x14ac:dyDescent="0.25">
      <c r="A202" s="395"/>
      <c r="B202" s="119" t="s">
        <v>183</v>
      </c>
      <c r="C202" s="143">
        <v>0.01</v>
      </c>
      <c r="D202" s="137">
        <f>E201+E203+E207+E208</f>
        <v>18000</v>
      </c>
      <c r="E202" s="134">
        <f>ROUND(C202*D202,0)</f>
        <v>180</v>
      </c>
      <c r="F202" s="398"/>
    </row>
    <row r="203" spans="1:6" x14ac:dyDescent="0.25">
      <c r="A203" s="395"/>
      <c r="B203" s="120" t="s">
        <v>184</v>
      </c>
      <c r="C203" s="89">
        <v>12</v>
      </c>
      <c r="D203" s="134">
        <v>1500</v>
      </c>
      <c r="E203" s="134">
        <f t="shared" ref="E203:E208" si="14">ROUND((C203*D203),0)</f>
        <v>18000</v>
      </c>
      <c r="F203" s="398"/>
    </row>
    <row r="204" spans="1:6" x14ac:dyDescent="0.25">
      <c r="A204" s="395"/>
      <c r="B204" s="72" t="s">
        <v>140</v>
      </c>
      <c r="C204" s="89">
        <v>1</v>
      </c>
      <c r="D204" s="134">
        <f>891.64+505.1</f>
        <v>1396.74</v>
      </c>
      <c r="E204" s="134">
        <f t="shared" si="14"/>
        <v>1397</v>
      </c>
      <c r="F204" s="398"/>
    </row>
    <row r="205" spans="1:6" x14ac:dyDescent="0.25">
      <c r="A205" s="395"/>
      <c r="B205" s="72" t="s">
        <v>141</v>
      </c>
      <c r="C205" s="89">
        <v>1</v>
      </c>
      <c r="D205" s="134">
        <v>351</v>
      </c>
      <c r="E205" s="134">
        <f t="shared" si="14"/>
        <v>351</v>
      </c>
      <c r="F205" s="398"/>
    </row>
    <row r="206" spans="1:6" ht="25.5" x14ac:dyDescent="0.25">
      <c r="A206" s="395"/>
      <c r="B206" s="120" t="s">
        <v>185</v>
      </c>
      <c r="C206" s="254">
        <v>1</v>
      </c>
      <c r="D206" s="255">
        <v>1500</v>
      </c>
      <c r="E206" s="134">
        <f t="shared" si="14"/>
        <v>1500</v>
      </c>
      <c r="F206" s="398"/>
    </row>
    <row r="207" spans="1:6" x14ac:dyDescent="0.25">
      <c r="A207" s="395"/>
      <c r="B207" s="121" t="s">
        <v>202</v>
      </c>
      <c r="C207" s="89">
        <v>1</v>
      </c>
      <c r="D207" s="134">
        <v>0</v>
      </c>
      <c r="E207" s="134">
        <f t="shared" si="14"/>
        <v>0</v>
      </c>
      <c r="F207" s="398"/>
    </row>
    <row r="208" spans="1:6" ht="15.75" thickBot="1" x14ac:dyDescent="0.3">
      <c r="A208" s="396"/>
      <c r="B208" s="121" t="s">
        <v>203</v>
      </c>
      <c r="C208" s="89">
        <v>1</v>
      </c>
      <c r="D208" s="134">
        <v>0</v>
      </c>
      <c r="E208" s="134">
        <f t="shared" si="14"/>
        <v>0</v>
      </c>
      <c r="F208" s="399"/>
    </row>
    <row r="209" spans="1:6" ht="26.25" thickBot="1" x14ac:dyDescent="0.3">
      <c r="A209" s="144">
        <v>4800</v>
      </c>
      <c r="B209" s="115" t="s">
        <v>101</v>
      </c>
      <c r="C209" s="145">
        <v>1</v>
      </c>
      <c r="D209" s="146">
        <v>7000</v>
      </c>
      <c r="E209" s="146">
        <f>C209*D209</f>
        <v>7000</v>
      </c>
      <c r="F209" s="147">
        <f>E209</f>
        <v>7000</v>
      </c>
    </row>
    <row r="210" spans="1:6" x14ac:dyDescent="0.25">
      <c r="A210" s="410"/>
      <c r="B210" s="411"/>
      <c r="C210" s="411"/>
      <c r="D210" s="411"/>
      <c r="E210" s="411"/>
      <c r="F210" s="412"/>
    </row>
    <row r="211" spans="1:6" ht="26.25" thickBot="1" x14ac:dyDescent="0.3">
      <c r="A211" s="173">
        <v>801</v>
      </c>
      <c r="B211" s="256" t="s">
        <v>204</v>
      </c>
      <c r="C211" s="175"/>
      <c r="D211" s="176"/>
      <c r="E211" s="176">
        <f>SUM(E212:E213)</f>
        <v>16452</v>
      </c>
      <c r="F211" s="177">
        <f>SUM(F212:F213)</f>
        <v>16452</v>
      </c>
    </row>
    <row r="212" spans="1:6" ht="15.75" thickBot="1" x14ac:dyDescent="0.3">
      <c r="A212" s="101">
        <v>4300</v>
      </c>
      <c r="B212" s="102" t="s">
        <v>37</v>
      </c>
      <c r="C212" s="103">
        <v>1</v>
      </c>
      <c r="D212" s="104">
        <v>2000</v>
      </c>
      <c r="E212" s="104">
        <f>C212*D212</f>
        <v>2000</v>
      </c>
      <c r="F212" s="105">
        <f>E212</f>
        <v>2000</v>
      </c>
    </row>
    <row r="213" spans="1:6" ht="39" thickBot="1" x14ac:dyDescent="0.3">
      <c r="A213" s="101">
        <v>4700</v>
      </c>
      <c r="B213" s="102" t="s">
        <v>174</v>
      </c>
      <c r="C213" s="103">
        <v>1</v>
      </c>
      <c r="D213" s="104">
        <f>(0.8%*(E103+E104+E105+E108+E109+E110+E167+E168+E172+E173+E174+E201+E202+E203+E206+E207+E208+E265+E266+E267+E270+E271+E272+E298+E300+E299+E303+E304+E305+E169))-D212</f>
        <v>14452.448</v>
      </c>
      <c r="E213" s="104">
        <f>ROUND(C213*D213,0)</f>
        <v>14452</v>
      </c>
      <c r="F213" s="105">
        <f>E213</f>
        <v>14452</v>
      </c>
    </row>
    <row r="214" spans="1:6" x14ac:dyDescent="0.25">
      <c r="A214" s="410"/>
      <c r="B214" s="411"/>
      <c r="C214" s="411"/>
      <c r="D214" s="411"/>
      <c r="E214" s="411"/>
      <c r="F214" s="412"/>
    </row>
    <row r="215" spans="1:6" ht="26.25" thickBot="1" x14ac:dyDescent="0.3">
      <c r="A215" s="173">
        <v>801</v>
      </c>
      <c r="B215" s="256" t="s">
        <v>205</v>
      </c>
      <c r="C215" s="175"/>
      <c r="D215" s="176"/>
      <c r="E215" s="176">
        <f>E216+E223+E224+E229+E234+E238+E240+E241+E239</f>
        <v>504209</v>
      </c>
      <c r="F215" s="177">
        <f>SUM(F216:F241)</f>
        <v>504209</v>
      </c>
    </row>
    <row r="216" spans="1:6" ht="25.5" x14ac:dyDescent="0.25">
      <c r="A216" s="388">
        <v>4010</v>
      </c>
      <c r="B216" s="93" t="s">
        <v>206</v>
      </c>
      <c r="C216" s="68"/>
      <c r="D216" s="69"/>
      <c r="E216" s="69">
        <f>SUM(E217:E222)</f>
        <v>320060</v>
      </c>
      <c r="F216" s="391">
        <f>E216</f>
        <v>320060</v>
      </c>
    </row>
    <row r="217" spans="1:6" x14ac:dyDescent="0.25">
      <c r="A217" s="389"/>
      <c r="B217" s="72" t="s">
        <v>138</v>
      </c>
      <c r="C217" s="73">
        <v>12</v>
      </c>
      <c r="D217" s="74">
        <v>25460</v>
      </c>
      <c r="E217" s="74">
        <f>C217*D217</f>
        <v>305520</v>
      </c>
      <c r="F217" s="392"/>
    </row>
    <row r="218" spans="1:6" x14ac:dyDescent="0.25">
      <c r="A218" s="389"/>
      <c r="B218" s="108" t="s">
        <v>207</v>
      </c>
      <c r="C218" s="88">
        <v>0</v>
      </c>
      <c r="D218" s="76">
        <f>(E217+E221+E222)</f>
        <v>315870</v>
      </c>
      <c r="E218" s="74">
        <f>ROUND(C218*D218,0)</f>
        <v>0</v>
      </c>
      <c r="F218" s="392"/>
    </row>
    <row r="219" spans="1:6" x14ac:dyDescent="0.25">
      <c r="A219" s="389"/>
      <c r="B219" s="108" t="s">
        <v>140</v>
      </c>
      <c r="C219" s="73">
        <v>1</v>
      </c>
      <c r="D219" s="74">
        <f>973.31+551.34+1353.8+766.86</f>
        <v>3645.31</v>
      </c>
      <c r="E219" s="74">
        <f>ROUND(C219*D219,0)</f>
        <v>3645</v>
      </c>
      <c r="F219" s="392"/>
    </row>
    <row r="220" spans="1:6" x14ac:dyDescent="0.25">
      <c r="A220" s="389"/>
      <c r="B220" s="72" t="s">
        <v>141</v>
      </c>
      <c r="C220" s="73">
        <v>1</v>
      </c>
      <c r="D220" s="74">
        <f>307+238</f>
        <v>545</v>
      </c>
      <c r="E220" s="74">
        <f>C220*D220</f>
        <v>545</v>
      </c>
      <c r="F220" s="392"/>
    </row>
    <row r="221" spans="1:6" x14ac:dyDescent="0.25">
      <c r="A221" s="389"/>
      <c r="B221" s="72" t="s">
        <v>208</v>
      </c>
      <c r="C221" s="73">
        <v>1</v>
      </c>
      <c r="D221" s="74">
        <v>10350</v>
      </c>
      <c r="E221" s="74">
        <f>ROUND(C221*D221,0)</f>
        <v>10350</v>
      </c>
      <c r="F221" s="392"/>
    </row>
    <row r="222" spans="1:6" ht="15.75" thickBot="1" x14ac:dyDescent="0.3">
      <c r="A222" s="389"/>
      <c r="B222" s="148" t="s">
        <v>209</v>
      </c>
      <c r="C222" s="91">
        <v>1</v>
      </c>
      <c r="D222" s="92">
        <v>0</v>
      </c>
      <c r="E222" s="74">
        <f>ROUND(C222*D222,0)</f>
        <v>0</v>
      </c>
      <c r="F222" s="392"/>
    </row>
    <row r="223" spans="1:6" ht="26.25" thickBot="1" x14ac:dyDescent="0.3">
      <c r="A223" s="101">
        <v>4040</v>
      </c>
      <c r="B223" s="102" t="s">
        <v>40</v>
      </c>
      <c r="C223" s="103">
        <v>1</v>
      </c>
      <c r="D223" s="104">
        <f>11000+7500</f>
        <v>18500</v>
      </c>
      <c r="E223" s="104">
        <f>C223*D223</f>
        <v>18500</v>
      </c>
      <c r="F223" s="105">
        <f>E223</f>
        <v>18500</v>
      </c>
    </row>
    <row r="224" spans="1:6" ht="25.5" x14ac:dyDescent="0.25">
      <c r="A224" s="388">
        <v>4110</v>
      </c>
      <c r="B224" s="67" t="s">
        <v>124</v>
      </c>
      <c r="C224" s="58"/>
      <c r="D224" s="59"/>
      <c r="E224" s="59">
        <f>SUM(E225:E228)</f>
        <v>56898</v>
      </c>
      <c r="F224" s="391">
        <f>E224</f>
        <v>56898</v>
      </c>
    </row>
    <row r="225" spans="1:6" x14ac:dyDescent="0.25">
      <c r="A225" s="389"/>
      <c r="B225" s="72" t="s">
        <v>210</v>
      </c>
      <c r="C225" s="73">
        <v>12</v>
      </c>
      <c r="D225" s="76">
        <v>4470.78</v>
      </c>
      <c r="E225" s="74">
        <f>ROUND(C225*D225,0)</f>
        <v>53649</v>
      </c>
      <c r="F225" s="392"/>
    </row>
    <row r="226" spans="1:6" x14ac:dyDescent="0.25">
      <c r="A226" s="389"/>
      <c r="B226" s="72" t="s">
        <v>211</v>
      </c>
      <c r="C226" s="73">
        <v>1</v>
      </c>
      <c r="D226" s="74">
        <f>E218*H1</f>
        <v>0</v>
      </c>
      <c r="E226" s="74">
        <f>ROUND(C226*D226,0)</f>
        <v>0</v>
      </c>
      <c r="F226" s="392"/>
    </row>
    <row r="227" spans="1:6" x14ac:dyDescent="0.25">
      <c r="A227" s="389"/>
      <c r="B227" s="72"/>
      <c r="C227" s="73"/>
      <c r="D227" s="74"/>
      <c r="E227" s="74">
        <f>ROUND(C227*D227,0)</f>
        <v>0</v>
      </c>
      <c r="F227" s="392"/>
    </row>
    <row r="228" spans="1:6" ht="24.75" thickBot="1" x14ac:dyDescent="0.3">
      <c r="A228" s="71"/>
      <c r="B228" s="148" t="s">
        <v>194</v>
      </c>
      <c r="C228" s="91">
        <v>1</v>
      </c>
      <c r="D228" s="149">
        <v>3248.6</v>
      </c>
      <c r="E228" s="74">
        <f>ROUND(C228*D228,0)</f>
        <v>3249</v>
      </c>
      <c r="F228" s="393"/>
    </row>
    <row r="229" spans="1:6" x14ac:dyDescent="0.25">
      <c r="A229" s="394">
        <v>4120</v>
      </c>
      <c r="B229" s="93" t="s">
        <v>152</v>
      </c>
      <c r="C229" s="68"/>
      <c r="D229" s="69"/>
      <c r="E229" s="69">
        <f>SUM(E230:E233)</f>
        <v>7938</v>
      </c>
      <c r="F229" s="391">
        <f>E229</f>
        <v>7938</v>
      </c>
    </row>
    <row r="230" spans="1:6" x14ac:dyDescent="0.25">
      <c r="A230" s="395"/>
      <c r="B230" s="72" t="s">
        <v>212</v>
      </c>
      <c r="C230" s="73">
        <v>12</v>
      </c>
      <c r="D230" s="76">
        <v>623.77</v>
      </c>
      <c r="E230" s="74">
        <f>ROUND(C230*D230,0)</f>
        <v>7485</v>
      </c>
      <c r="F230" s="392"/>
    </row>
    <row r="231" spans="1:6" x14ac:dyDescent="0.25">
      <c r="A231" s="395"/>
      <c r="B231" s="72" t="s">
        <v>213</v>
      </c>
      <c r="C231" s="73">
        <v>1</v>
      </c>
      <c r="D231" s="76">
        <f>E218*H3</f>
        <v>0</v>
      </c>
      <c r="E231" s="74">
        <f>ROUND(C231*D231,0)</f>
        <v>0</v>
      </c>
      <c r="F231" s="392"/>
    </row>
    <row r="232" spans="1:6" x14ac:dyDescent="0.25">
      <c r="A232" s="395"/>
      <c r="B232" s="72"/>
      <c r="C232" s="73"/>
      <c r="D232" s="74"/>
      <c r="E232" s="74">
        <f>ROUND(C232*D232,0)</f>
        <v>0</v>
      </c>
      <c r="F232" s="392"/>
    </row>
    <row r="233" spans="1:6" ht="24.75" thickBot="1" x14ac:dyDescent="0.3">
      <c r="A233" s="133"/>
      <c r="B233" s="148" t="s">
        <v>200</v>
      </c>
      <c r="C233" s="85">
        <v>1</v>
      </c>
      <c r="D233" s="150">
        <v>453.25</v>
      </c>
      <c r="E233" s="74">
        <f>ROUND(C233*D233,0)</f>
        <v>453</v>
      </c>
      <c r="F233" s="393"/>
    </row>
    <row r="234" spans="1:6" x14ac:dyDescent="0.25">
      <c r="A234" s="421">
        <v>4210</v>
      </c>
      <c r="B234" s="67" t="s">
        <v>214</v>
      </c>
      <c r="C234" s="58"/>
      <c r="D234" s="59"/>
      <c r="E234" s="59">
        <f>SUM(E235:E237)</f>
        <v>1200</v>
      </c>
      <c r="F234" s="424">
        <f>E234</f>
        <v>1200</v>
      </c>
    </row>
    <row r="235" spans="1:6" ht="72" x14ac:dyDescent="0.25">
      <c r="A235" s="413"/>
      <c r="B235" s="72" t="s">
        <v>268</v>
      </c>
      <c r="C235" s="85">
        <v>1</v>
      </c>
      <c r="D235" s="86">
        <v>500</v>
      </c>
      <c r="E235" s="74">
        <f t="shared" ref="E235:E241" si="15">C235*D235</f>
        <v>500</v>
      </c>
      <c r="F235" s="425"/>
    </row>
    <row r="236" spans="1:6" x14ac:dyDescent="0.25">
      <c r="A236" s="422"/>
      <c r="B236" s="72" t="s">
        <v>269</v>
      </c>
      <c r="C236" s="73">
        <v>1</v>
      </c>
      <c r="D236" s="74">
        <v>250</v>
      </c>
      <c r="E236" s="74">
        <f t="shared" si="15"/>
        <v>250</v>
      </c>
      <c r="F236" s="426"/>
    </row>
    <row r="237" spans="1:6" ht="15.75" thickBot="1" x14ac:dyDescent="0.3">
      <c r="A237" s="423"/>
      <c r="B237" s="79" t="s">
        <v>270</v>
      </c>
      <c r="C237" s="98">
        <v>1</v>
      </c>
      <c r="D237" s="82">
        <v>450</v>
      </c>
      <c r="E237" s="82">
        <f t="shared" si="15"/>
        <v>450</v>
      </c>
      <c r="F237" s="427"/>
    </row>
    <row r="238" spans="1:6" ht="15.75" thickBot="1" x14ac:dyDescent="0.3">
      <c r="A238" s="218">
        <v>4220</v>
      </c>
      <c r="B238" s="258" t="s">
        <v>41</v>
      </c>
      <c r="C238" s="103">
        <v>1</v>
      </c>
      <c r="D238" s="104">
        <v>95000</v>
      </c>
      <c r="E238" s="104">
        <f t="shared" si="15"/>
        <v>95000</v>
      </c>
      <c r="F238" s="105">
        <f>E238</f>
        <v>95000</v>
      </c>
    </row>
    <row r="239" spans="1:6" ht="15.75" thickBot="1" x14ac:dyDescent="0.3">
      <c r="A239" s="66">
        <v>4280</v>
      </c>
      <c r="B239" s="112" t="s">
        <v>36</v>
      </c>
      <c r="C239" s="113">
        <v>1</v>
      </c>
      <c r="D239" s="114">
        <v>450</v>
      </c>
      <c r="E239" s="114">
        <f>C239*D239</f>
        <v>450</v>
      </c>
      <c r="F239" s="75">
        <f>E239</f>
        <v>450</v>
      </c>
    </row>
    <row r="240" spans="1:6" ht="15.75" thickBot="1" x14ac:dyDescent="0.3">
      <c r="A240" s="101">
        <v>4440</v>
      </c>
      <c r="B240" s="102" t="s">
        <v>173</v>
      </c>
      <c r="C240" s="103">
        <v>1</v>
      </c>
      <c r="D240" s="104">
        <v>4163</v>
      </c>
      <c r="E240" s="104">
        <f t="shared" si="15"/>
        <v>4163</v>
      </c>
      <c r="F240" s="105">
        <f>E240</f>
        <v>4163</v>
      </c>
    </row>
    <row r="241" spans="1:6" ht="26.25" thickBot="1" x14ac:dyDescent="0.3">
      <c r="A241" s="78">
        <v>4710</v>
      </c>
      <c r="B241" s="154" t="s">
        <v>38</v>
      </c>
      <c r="C241" s="123">
        <v>1</v>
      </c>
      <c r="D241" s="124">
        <v>0</v>
      </c>
      <c r="E241" s="124">
        <f t="shared" si="15"/>
        <v>0</v>
      </c>
      <c r="F241" s="83">
        <f>E241</f>
        <v>0</v>
      </c>
    </row>
    <row r="242" spans="1:6" x14ac:dyDescent="0.25">
      <c r="A242" s="410"/>
      <c r="B242" s="411"/>
      <c r="C242" s="411"/>
      <c r="D242" s="411"/>
      <c r="E242" s="411"/>
      <c r="F242" s="412"/>
    </row>
    <row r="243" spans="1:6" ht="113.25" customHeight="1" thickBot="1" x14ac:dyDescent="0.3">
      <c r="A243" s="173">
        <v>801</v>
      </c>
      <c r="B243" s="256" t="s">
        <v>271</v>
      </c>
      <c r="C243" s="175"/>
      <c r="D243" s="176"/>
      <c r="E243" s="176">
        <f>E244+E248+E255++E262+E273+E264+E263</f>
        <v>13412.5</v>
      </c>
      <c r="F243" s="177">
        <f>SUM(F244:F273)</f>
        <v>13412.5</v>
      </c>
    </row>
    <row r="244" spans="1:6" ht="25.5" x14ac:dyDescent="0.25">
      <c r="A244" s="388">
        <v>3020</v>
      </c>
      <c r="B244" s="67" t="s">
        <v>216</v>
      </c>
      <c r="C244" s="58"/>
      <c r="D244" s="59"/>
      <c r="E244" s="59">
        <f>SUM(E245:E247)</f>
        <v>0</v>
      </c>
      <c r="F244" s="391">
        <f>E244</f>
        <v>0</v>
      </c>
    </row>
    <row r="245" spans="1:6" x14ac:dyDescent="0.25">
      <c r="A245" s="389"/>
      <c r="B245" s="72" t="s">
        <v>272</v>
      </c>
      <c r="C245" s="73">
        <v>12</v>
      </c>
      <c r="D245" s="74">
        <v>0</v>
      </c>
      <c r="E245" s="74">
        <f>C245*D245</f>
        <v>0</v>
      </c>
      <c r="F245" s="392"/>
    </row>
    <row r="246" spans="1:6" x14ac:dyDescent="0.25">
      <c r="A246" s="389"/>
      <c r="B246" s="72" t="s">
        <v>311</v>
      </c>
      <c r="C246" s="73">
        <v>1</v>
      </c>
      <c r="D246" s="74">
        <v>0</v>
      </c>
      <c r="E246" s="74">
        <f>ROUND(C246*D246,0)</f>
        <v>0</v>
      </c>
      <c r="F246" s="392"/>
    </row>
    <row r="247" spans="1:6" ht="15.75" thickBot="1" x14ac:dyDescent="0.3">
      <c r="A247" s="413"/>
      <c r="B247" s="79" t="s">
        <v>141</v>
      </c>
      <c r="C247" s="73">
        <v>1</v>
      </c>
      <c r="D247" s="74">
        <v>0</v>
      </c>
      <c r="E247" s="74">
        <f>C247*D247</f>
        <v>0</v>
      </c>
      <c r="F247" s="393"/>
    </row>
    <row r="248" spans="1:6" ht="25.5" x14ac:dyDescent="0.25">
      <c r="A248" s="388">
        <v>4110</v>
      </c>
      <c r="B248" s="67" t="s">
        <v>124</v>
      </c>
      <c r="C248" s="58"/>
      <c r="D248" s="59"/>
      <c r="E248" s="59">
        <f>SUM(E249:E254)</f>
        <v>195</v>
      </c>
      <c r="F248" s="391">
        <f>E248</f>
        <v>195</v>
      </c>
    </row>
    <row r="249" spans="1:6" x14ac:dyDescent="0.25">
      <c r="A249" s="389"/>
      <c r="B249" s="72" t="s">
        <v>145</v>
      </c>
      <c r="C249" s="73">
        <v>12</v>
      </c>
      <c r="D249" s="76">
        <f>D245*H1</f>
        <v>0</v>
      </c>
      <c r="E249" s="74">
        <f t="shared" ref="E249:E254" si="16">ROUND(C249*D249,0)</f>
        <v>0</v>
      </c>
      <c r="F249" s="392"/>
    </row>
    <row r="250" spans="1:6" ht="24" x14ac:dyDescent="0.25">
      <c r="A250" s="389"/>
      <c r="B250" s="108" t="s">
        <v>147</v>
      </c>
      <c r="C250" s="73">
        <v>12</v>
      </c>
      <c r="D250" s="76">
        <f>D265*$H$1</f>
        <v>0</v>
      </c>
      <c r="E250" s="74">
        <f t="shared" si="16"/>
        <v>0</v>
      </c>
      <c r="F250" s="392"/>
    </row>
    <row r="251" spans="1:6" x14ac:dyDescent="0.25">
      <c r="A251" s="389"/>
      <c r="B251" s="108" t="s">
        <v>148</v>
      </c>
      <c r="C251" s="73">
        <v>12</v>
      </c>
      <c r="D251" s="76">
        <f>D266*$H$1</f>
        <v>0</v>
      </c>
      <c r="E251" s="74">
        <f t="shared" si="16"/>
        <v>0</v>
      </c>
      <c r="F251" s="392"/>
    </row>
    <row r="252" spans="1:6" x14ac:dyDescent="0.25">
      <c r="A252" s="389"/>
      <c r="B252" s="108" t="s">
        <v>149</v>
      </c>
      <c r="C252" s="73">
        <v>1</v>
      </c>
      <c r="D252" s="76">
        <v>193.26</v>
      </c>
      <c r="E252" s="74">
        <f t="shared" si="16"/>
        <v>193</v>
      </c>
      <c r="F252" s="392"/>
    </row>
    <row r="253" spans="1:6" x14ac:dyDescent="0.25">
      <c r="A253" s="389"/>
      <c r="B253" s="108" t="s">
        <v>217</v>
      </c>
      <c r="C253" s="73">
        <v>1</v>
      </c>
      <c r="D253" s="76">
        <v>1.58</v>
      </c>
      <c r="E253" s="74">
        <f t="shared" si="16"/>
        <v>2</v>
      </c>
      <c r="F253" s="392"/>
    </row>
    <row r="254" spans="1:6" ht="15.75" thickBot="1" x14ac:dyDescent="0.3">
      <c r="A254" s="389"/>
      <c r="B254" s="72"/>
      <c r="C254" s="73"/>
      <c r="D254" s="74"/>
      <c r="E254" s="74">
        <f t="shared" si="16"/>
        <v>0</v>
      </c>
      <c r="F254" s="392"/>
    </row>
    <row r="255" spans="1:6" x14ac:dyDescent="0.25">
      <c r="A255" s="388">
        <v>4120</v>
      </c>
      <c r="B255" s="155" t="s">
        <v>152</v>
      </c>
      <c r="C255" s="58"/>
      <c r="D255" s="59"/>
      <c r="E255" s="59">
        <f>SUM(E256:E261)</f>
        <v>1</v>
      </c>
      <c r="F255" s="391">
        <f>E255</f>
        <v>1</v>
      </c>
    </row>
    <row r="256" spans="1:6" x14ac:dyDescent="0.25">
      <c r="A256" s="389"/>
      <c r="B256" s="72" t="s">
        <v>195</v>
      </c>
      <c r="C256" s="73">
        <v>12</v>
      </c>
      <c r="D256" s="76">
        <f>D245*$H$3</f>
        <v>0</v>
      </c>
      <c r="E256" s="74">
        <f t="shared" ref="E256:E261" si="17">ROUND(C256*D256,0)</f>
        <v>0</v>
      </c>
      <c r="F256" s="392"/>
    </row>
    <row r="257" spans="1:6" ht="24" x14ac:dyDescent="0.25">
      <c r="A257" s="389"/>
      <c r="B257" s="108" t="s">
        <v>196</v>
      </c>
      <c r="C257" s="73">
        <v>12</v>
      </c>
      <c r="D257" s="76">
        <f>D246*$H$3</f>
        <v>0</v>
      </c>
      <c r="E257" s="74">
        <f t="shared" si="17"/>
        <v>0</v>
      </c>
      <c r="F257" s="392"/>
    </row>
    <row r="258" spans="1:6" ht="24" x14ac:dyDescent="0.25">
      <c r="A258" s="389"/>
      <c r="B258" s="108" t="s">
        <v>218</v>
      </c>
      <c r="C258" s="73">
        <v>12</v>
      </c>
      <c r="D258" s="76">
        <f>D247*$H$3</f>
        <v>0</v>
      </c>
      <c r="E258" s="74">
        <f t="shared" si="17"/>
        <v>0</v>
      </c>
      <c r="F258" s="392"/>
    </row>
    <row r="259" spans="1:6" ht="24" x14ac:dyDescent="0.25">
      <c r="A259" s="389"/>
      <c r="B259" s="108" t="s">
        <v>198</v>
      </c>
      <c r="C259" s="73">
        <v>1</v>
      </c>
      <c r="D259" s="76">
        <f>D248*$H$3</f>
        <v>0</v>
      </c>
      <c r="E259" s="74">
        <f t="shared" si="17"/>
        <v>0</v>
      </c>
      <c r="F259" s="392"/>
    </row>
    <row r="260" spans="1:6" ht="24" x14ac:dyDescent="0.25">
      <c r="A260" s="389"/>
      <c r="B260" s="108" t="s">
        <v>219</v>
      </c>
      <c r="C260" s="73">
        <v>1</v>
      </c>
      <c r="D260" s="76">
        <f>D249*$H$3</f>
        <v>0</v>
      </c>
      <c r="E260" s="74">
        <f t="shared" si="17"/>
        <v>0</v>
      </c>
      <c r="F260" s="392"/>
    </row>
    <row r="261" spans="1:6" ht="15.75" thickBot="1" x14ac:dyDescent="0.3">
      <c r="A261" s="389"/>
      <c r="B261" s="108" t="s">
        <v>314</v>
      </c>
      <c r="C261" s="107">
        <v>1</v>
      </c>
      <c r="D261" s="109">
        <v>1.03</v>
      </c>
      <c r="E261" s="109">
        <f t="shared" si="17"/>
        <v>1</v>
      </c>
      <c r="F261" s="392"/>
    </row>
    <row r="262" spans="1:6" ht="15.75" thickBot="1" x14ac:dyDescent="0.3">
      <c r="A262" s="101">
        <v>4440</v>
      </c>
      <c r="B262" s="102" t="s">
        <v>173</v>
      </c>
      <c r="C262" s="103">
        <v>1</v>
      </c>
      <c r="D262" s="104">
        <v>0</v>
      </c>
      <c r="E262" s="104">
        <f>C262*D262</f>
        <v>0</v>
      </c>
      <c r="F262" s="105">
        <f>E262</f>
        <v>0</v>
      </c>
    </row>
    <row r="263" spans="1:6" ht="26.25" thickBot="1" x14ac:dyDescent="0.3">
      <c r="A263" s="78">
        <v>4710</v>
      </c>
      <c r="B263" s="154" t="s">
        <v>38</v>
      </c>
      <c r="C263" s="123">
        <v>1</v>
      </c>
      <c r="D263" s="124">
        <v>16.5</v>
      </c>
      <c r="E263" s="124">
        <f>C263*D263</f>
        <v>16.5</v>
      </c>
      <c r="F263" s="83">
        <f>E263</f>
        <v>16.5</v>
      </c>
    </row>
    <row r="264" spans="1:6" ht="25.5" x14ac:dyDescent="0.25">
      <c r="A264" s="388">
        <v>4790</v>
      </c>
      <c r="B264" s="67" t="s">
        <v>220</v>
      </c>
      <c r="C264" s="58"/>
      <c r="D264" s="59"/>
      <c r="E264" s="59">
        <f>SUM(E265:E272)</f>
        <v>13200</v>
      </c>
      <c r="F264" s="391">
        <f>E264</f>
        <v>13200</v>
      </c>
    </row>
    <row r="265" spans="1:6" ht="25.5" x14ac:dyDescent="0.25">
      <c r="A265" s="389"/>
      <c r="B265" s="119" t="s">
        <v>273</v>
      </c>
      <c r="C265" s="73">
        <v>12</v>
      </c>
      <c r="D265" s="74">
        <v>0</v>
      </c>
      <c r="E265" s="74">
        <f>C265*D265</f>
        <v>0</v>
      </c>
      <c r="F265" s="392"/>
    </row>
    <row r="266" spans="1:6" x14ac:dyDescent="0.25">
      <c r="A266" s="389"/>
      <c r="B266" s="119" t="s">
        <v>274</v>
      </c>
      <c r="C266" s="88">
        <v>0.01</v>
      </c>
      <c r="D266" s="76">
        <v>0</v>
      </c>
      <c r="E266" s="74">
        <v>0</v>
      </c>
      <c r="F266" s="392"/>
    </row>
    <row r="267" spans="1:6" x14ac:dyDescent="0.25">
      <c r="A267" s="389"/>
      <c r="B267" s="120" t="s">
        <v>184</v>
      </c>
      <c r="C267" s="73">
        <v>12</v>
      </c>
      <c r="D267" s="74">
        <v>1100</v>
      </c>
      <c r="E267" s="74">
        <f>C267*D267</f>
        <v>13200</v>
      </c>
      <c r="F267" s="392"/>
    </row>
    <row r="268" spans="1:6" x14ac:dyDescent="0.25">
      <c r="A268" s="389"/>
      <c r="B268" s="108"/>
      <c r="C268" s="73"/>
      <c r="D268" s="74"/>
      <c r="E268" s="74">
        <f>ROUND(C268*D268,0)</f>
        <v>0</v>
      </c>
      <c r="F268" s="392"/>
    </row>
    <row r="269" spans="1:6" x14ac:dyDescent="0.25">
      <c r="A269" s="389"/>
      <c r="B269" s="72"/>
      <c r="C269" s="73"/>
      <c r="D269" s="74"/>
      <c r="E269" s="74">
        <f>C269*D269</f>
        <v>0</v>
      </c>
      <c r="F269" s="392"/>
    </row>
    <row r="270" spans="1:6" ht="24" x14ac:dyDescent="0.25">
      <c r="A270" s="389"/>
      <c r="B270" s="72" t="s">
        <v>185</v>
      </c>
      <c r="C270" s="73">
        <v>1</v>
      </c>
      <c r="D270" s="74">
        <v>0</v>
      </c>
      <c r="E270" s="74">
        <f>C270*D270</f>
        <v>0</v>
      </c>
      <c r="F270" s="392"/>
    </row>
    <row r="271" spans="1:6" x14ac:dyDescent="0.25">
      <c r="A271" s="389"/>
      <c r="B271" s="121" t="s">
        <v>208</v>
      </c>
      <c r="C271" s="73">
        <v>1</v>
      </c>
      <c r="D271" s="74">
        <v>0</v>
      </c>
      <c r="E271" s="74">
        <f>C271*D271</f>
        <v>0</v>
      </c>
      <c r="F271" s="392"/>
    </row>
    <row r="272" spans="1:6" ht="15.75" thickBot="1" x14ac:dyDescent="0.3">
      <c r="A272" s="389"/>
      <c r="B272" s="121" t="s">
        <v>203</v>
      </c>
      <c r="C272" s="73">
        <v>1</v>
      </c>
      <c r="D272" s="74">
        <v>0</v>
      </c>
      <c r="E272" s="74">
        <f>C272*D272</f>
        <v>0</v>
      </c>
      <c r="F272" s="392"/>
    </row>
    <row r="273" spans="1:6" ht="26.25" thickBot="1" x14ac:dyDescent="0.3">
      <c r="A273" s="144">
        <v>4800</v>
      </c>
      <c r="B273" s="115" t="s">
        <v>101</v>
      </c>
      <c r="C273" s="103">
        <v>1</v>
      </c>
      <c r="D273" s="104">
        <v>0</v>
      </c>
      <c r="E273" s="104">
        <f>C273*D273</f>
        <v>0</v>
      </c>
      <c r="F273" s="105">
        <f>E273</f>
        <v>0</v>
      </c>
    </row>
    <row r="274" spans="1:6" x14ac:dyDescent="0.25">
      <c r="A274" s="410"/>
      <c r="B274" s="411"/>
      <c r="C274" s="411"/>
      <c r="D274" s="411"/>
      <c r="E274" s="411"/>
      <c r="F274" s="412"/>
    </row>
    <row r="275" spans="1:6" ht="77.25" thickBot="1" x14ac:dyDescent="0.3">
      <c r="A275" s="173">
        <v>801</v>
      </c>
      <c r="B275" s="256" t="s">
        <v>215</v>
      </c>
      <c r="C275" s="175"/>
      <c r="D275" s="176"/>
      <c r="E275" s="176">
        <f>E276+E280+E287+E294+E295+E296+E306+E297</f>
        <v>32921</v>
      </c>
      <c r="F275" s="177">
        <f>SUM(F276:F306)</f>
        <v>32921</v>
      </c>
    </row>
    <row r="276" spans="1:6" ht="25.5" x14ac:dyDescent="0.25">
      <c r="A276" s="388">
        <v>3020</v>
      </c>
      <c r="B276" s="67" t="s">
        <v>216</v>
      </c>
      <c r="C276" s="58"/>
      <c r="D276" s="59"/>
      <c r="E276" s="59">
        <f>SUM(E277:E279)</f>
        <v>0</v>
      </c>
      <c r="F276" s="391">
        <f>E276</f>
        <v>0</v>
      </c>
    </row>
    <row r="277" spans="1:6" x14ac:dyDescent="0.25">
      <c r="A277" s="389"/>
      <c r="B277" s="72" t="s">
        <v>272</v>
      </c>
      <c r="C277" s="73">
        <v>12</v>
      </c>
      <c r="D277" s="74">
        <v>0</v>
      </c>
      <c r="E277" s="74">
        <f>C277*D277</f>
        <v>0</v>
      </c>
      <c r="F277" s="392"/>
    </row>
    <row r="278" spans="1:6" x14ac:dyDescent="0.25">
      <c r="A278" s="389"/>
      <c r="B278" s="72" t="s">
        <v>311</v>
      </c>
      <c r="C278" s="73">
        <v>1</v>
      </c>
      <c r="D278" s="74">
        <v>0</v>
      </c>
      <c r="E278" s="74">
        <f>ROUND(C278*D278,0)</f>
        <v>0</v>
      </c>
      <c r="F278" s="392"/>
    </row>
    <row r="279" spans="1:6" ht="15.75" thickBot="1" x14ac:dyDescent="0.3">
      <c r="A279" s="413"/>
      <c r="B279" s="79" t="s">
        <v>141</v>
      </c>
      <c r="C279" s="73">
        <v>1</v>
      </c>
      <c r="D279" s="74">
        <v>0</v>
      </c>
      <c r="E279" s="74">
        <f>C279*D279</f>
        <v>0</v>
      </c>
      <c r="F279" s="393"/>
    </row>
    <row r="280" spans="1:6" ht="25.5" x14ac:dyDescent="0.25">
      <c r="A280" s="388">
        <v>4110</v>
      </c>
      <c r="B280" s="67" t="s">
        <v>124</v>
      </c>
      <c r="C280" s="58"/>
      <c r="D280" s="59"/>
      <c r="E280" s="59">
        <f>SUM(E281:E286)</f>
        <v>3477</v>
      </c>
      <c r="F280" s="391">
        <f>E280</f>
        <v>3477</v>
      </c>
    </row>
    <row r="281" spans="1:6" x14ac:dyDescent="0.25">
      <c r="A281" s="389"/>
      <c r="B281" s="72" t="s">
        <v>145</v>
      </c>
      <c r="C281" s="73">
        <v>12</v>
      </c>
      <c r="D281" s="76">
        <f>D277*H1</f>
        <v>0</v>
      </c>
      <c r="E281" s="74">
        <f t="shared" ref="E281:E286" si="18">ROUND(C281*D281,0)</f>
        <v>0</v>
      </c>
      <c r="F281" s="392"/>
    </row>
    <row r="282" spans="1:6" ht="24" x14ac:dyDescent="0.25">
      <c r="A282" s="389"/>
      <c r="B282" s="108" t="s">
        <v>147</v>
      </c>
      <c r="C282" s="73">
        <v>12</v>
      </c>
      <c r="D282" s="76">
        <f>D298*H1</f>
        <v>0</v>
      </c>
      <c r="E282" s="74">
        <f t="shared" si="18"/>
        <v>0</v>
      </c>
      <c r="F282" s="392"/>
    </row>
    <row r="283" spans="1:6" x14ac:dyDescent="0.25">
      <c r="A283" s="389"/>
      <c r="B283" s="108" t="s">
        <v>148</v>
      </c>
      <c r="C283" s="73">
        <v>12</v>
      </c>
      <c r="D283" s="76">
        <v>289.74</v>
      </c>
      <c r="E283" s="74">
        <f t="shared" si="18"/>
        <v>3477</v>
      </c>
      <c r="F283" s="392"/>
    </row>
    <row r="284" spans="1:6" ht="24" x14ac:dyDescent="0.25">
      <c r="A284" s="389"/>
      <c r="B284" s="108" t="s">
        <v>149</v>
      </c>
      <c r="C284" s="73">
        <v>1</v>
      </c>
      <c r="D284" s="76">
        <f>D303*H1</f>
        <v>0</v>
      </c>
      <c r="E284" s="74">
        <f t="shared" si="18"/>
        <v>0</v>
      </c>
      <c r="F284" s="392"/>
    </row>
    <row r="285" spans="1:6" x14ac:dyDescent="0.25">
      <c r="A285" s="389"/>
      <c r="B285" s="108" t="s">
        <v>217</v>
      </c>
      <c r="C285" s="73">
        <v>1</v>
      </c>
      <c r="D285" s="76">
        <f>E299*H1</f>
        <v>0</v>
      </c>
      <c r="E285" s="74">
        <f t="shared" si="18"/>
        <v>0</v>
      </c>
      <c r="F285" s="392"/>
    </row>
    <row r="286" spans="1:6" ht="15.75" thickBot="1" x14ac:dyDescent="0.3">
      <c r="A286" s="389"/>
      <c r="B286" s="72"/>
      <c r="C286" s="73"/>
      <c r="D286" s="74"/>
      <c r="E286" s="74">
        <f t="shared" si="18"/>
        <v>0</v>
      </c>
      <c r="F286" s="392"/>
    </row>
    <row r="287" spans="1:6" x14ac:dyDescent="0.25">
      <c r="A287" s="388">
        <v>4120</v>
      </c>
      <c r="B287" s="155" t="s">
        <v>152</v>
      </c>
      <c r="C287" s="58"/>
      <c r="D287" s="59"/>
      <c r="E287" s="59">
        <f>SUM(E288:E293)</f>
        <v>485</v>
      </c>
      <c r="F287" s="391">
        <f>E287</f>
        <v>485</v>
      </c>
    </row>
    <row r="288" spans="1:6" x14ac:dyDescent="0.25">
      <c r="A288" s="389"/>
      <c r="B288" s="72" t="s">
        <v>195</v>
      </c>
      <c r="C288" s="73">
        <v>12</v>
      </c>
      <c r="D288" s="76">
        <f>D277*H3</f>
        <v>0</v>
      </c>
      <c r="E288" s="74">
        <f t="shared" ref="E288:E293" si="19">ROUND(C288*D288,0)</f>
        <v>0</v>
      </c>
      <c r="F288" s="392"/>
    </row>
    <row r="289" spans="1:6" ht="24" x14ac:dyDescent="0.25">
      <c r="A289" s="389"/>
      <c r="B289" s="108" t="s">
        <v>196</v>
      </c>
      <c r="C289" s="73">
        <v>12</v>
      </c>
      <c r="D289" s="76">
        <f>D298*H3</f>
        <v>0</v>
      </c>
      <c r="E289" s="74">
        <f t="shared" si="19"/>
        <v>0</v>
      </c>
      <c r="F289" s="392"/>
    </row>
    <row r="290" spans="1:6" x14ac:dyDescent="0.25">
      <c r="A290" s="389"/>
      <c r="B290" s="108" t="s">
        <v>218</v>
      </c>
      <c r="C290" s="73">
        <v>12</v>
      </c>
      <c r="D290" s="76">
        <v>40.43</v>
      </c>
      <c r="E290" s="74">
        <f t="shared" si="19"/>
        <v>485</v>
      </c>
      <c r="F290" s="392"/>
    </row>
    <row r="291" spans="1:6" ht="24" x14ac:dyDescent="0.25">
      <c r="A291" s="389"/>
      <c r="B291" s="108" t="s">
        <v>198</v>
      </c>
      <c r="C291" s="73">
        <v>1</v>
      </c>
      <c r="D291" s="76">
        <f>D303*H3</f>
        <v>0</v>
      </c>
      <c r="E291" s="74">
        <f t="shared" si="19"/>
        <v>0</v>
      </c>
      <c r="F291" s="392"/>
    </row>
    <row r="292" spans="1:6" ht="24" x14ac:dyDescent="0.25">
      <c r="A292" s="389"/>
      <c r="B292" s="108" t="s">
        <v>219</v>
      </c>
      <c r="C292" s="73">
        <v>1</v>
      </c>
      <c r="D292" s="76">
        <f>E299*H3</f>
        <v>0</v>
      </c>
      <c r="E292" s="74">
        <f t="shared" si="19"/>
        <v>0</v>
      </c>
      <c r="F292" s="392"/>
    </row>
    <row r="293" spans="1:6" ht="15.75" thickBot="1" x14ac:dyDescent="0.3">
      <c r="A293" s="389"/>
      <c r="B293" s="108"/>
      <c r="C293" s="107"/>
      <c r="D293" s="109"/>
      <c r="E293" s="109">
        <f t="shared" si="19"/>
        <v>0</v>
      </c>
      <c r="F293" s="392"/>
    </row>
    <row r="294" spans="1:6" ht="15.75" thickBot="1" x14ac:dyDescent="0.3">
      <c r="A294" s="101">
        <v>4280</v>
      </c>
      <c r="B294" s="102" t="s">
        <v>36</v>
      </c>
      <c r="C294" s="103">
        <v>0</v>
      </c>
      <c r="D294" s="104">
        <v>0</v>
      </c>
      <c r="E294" s="104">
        <f>C294*D294</f>
        <v>0</v>
      </c>
      <c r="F294" s="105">
        <f>E294</f>
        <v>0</v>
      </c>
    </row>
    <row r="295" spans="1:6" ht="15.75" thickBot="1" x14ac:dyDescent="0.3">
      <c r="A295" s="101">
        <v>4300</v>
      </c>
      <c r="B295" s="102" t="s">
        <v>37</v>
      </c>
      <c r="C295" s="103">
        <v>0</v>
      </c>
      <c r="D295" s="104">
        <v>0</v>
      </c>
      <c r="E295" s="104">
        <f>C295*D295</f>
        <v>0</v>
      </c>
      <c r="F295" s="105">
        <f>E295</f>
        <v>0</v>
      </c>
    </row>
    <row r="296" spans="1:6" ht="15.75" thickBot="1" x14ac:dyDescent="0.3">
      <c r="A296" s="71">
        <v>4440</v>
      </c>
      <c r="B296" s="112" t="s">
        <v>173</v>
      </c>
      <c r="C296" s="113">
        <v>1</v>
      </c>
      <c r="D296" s="114">
        <v>9159</v>
      </c>
      <c r="E296" s="114">
        <f>C296*D296</f>
        <v>9159</v>
      </c>
      <c r="F296" s="75">
        <f>E296</f>
        <v>9159</v>
      </c>
    </row>
    <row r="297" spans="1:6" ht="25.5" x14ac:dyDescent="0.25">
      <c r="A297" s="388">
        <v>4790</v>
      </c>
      <c r="B297" s="67" t="s">
        <v>220</v>
      </c>
      <c r="C297" s="58"/>
      <c r="D297" s="59"/>
      <c r="E297" s="59">
        <f>SUM(E298:E305)</f>
        <v>19800</v>
      </c>
      <c r="F297" s="391">
        <f>E297</f>
        <v>19800</v>
      </c>
    </row>
    <row r="298" spans="1:6" x14ac:dyDescent="0.25">
      <c r="A298" s="389"/>
      <c r="B298" s="119" t="s">
        <v>182</v>
      </c>
      <c r="C298" s="73">
        <v>12</v>
      </c>
      <c r="D298" s="74">
        <v>0</v>
      </c>
      <c r="E298" s="74">
        <f>C298*D298</f>
        <v>0</v>
      </c>
      <c r="F298" s="392"/>
    </row>
    <row r="299" spans="1:6" x14ac:dyDescent="0.25">
      <c r="A299" s="389"/>
      <c r="B299" s="119" t="s">
        <v>183</v>
      </c>
      <c r="C299" s="88">
        <v>0.01</v>
      </c>
      <c r="D299" s="76"/>
      <c r="E299" s="74">
        <v>0</v>
      </c>
      <c r="F299" s="392"/>
    </row>
    <row r="300" spans="1:6" x14ac:dyDescent="0.25">
      <c r="A300" s="389"/>
      <c r="B300" s="120" t="s">
        <v>184</v>
      </c>
      <c r="C300" s="73">
        <v>12</v>
      </c>
      <c r="D300" s="74">
        <v>1650</v>
      </c>
      <c r="E300" s="74">
        <f t="shared" ref="E300:E306" si="20">C300*D300</f>
        <v>19800</v>
      </c>
      <c r="F300" s="392"/>
    </row>
    <row r="301" spans="1:6" x14ac:dyDescent="0.25">
      <c r="A301" s="389"/>
      <c r="B301" s="108"/>
      <c r="C301" s="73"/>
      <c r="D301" s="74"/>
      <c r="E301" s="74">
        <f>ROUND(C301*D301,0)</f>
        <v>0</v>
      </c>
      <c r="F301" s="392"/>
    </row>
    <row r="302" spans="1:6" x14ac:dyDescent="0.25">
      <c r="A302" s="389"/>
      <c r="B302" s="72"/>
      <c r="C302" s="73"/>
      <c r="D302" s="74"/>
      <c r="E302" s="74">
        <f t="shared" si="20"/>
        <v>0</v>
      </c>
      <c r="F302" s="392"/>
    </row>
    <row r="303" spans="1:6" ht="24" x14ac:dyDescent="0.25">
      <c r="A303" s="389"/>
      <c r="B303" s="72" t="s">
        <v>185</v>
      </c>
      <c r="C303" s="73">
        <v>1</v>
      </c>
      <c r="D303" s="74">
        <v>0</v>
      </c>
      <c r="E303" s="74">
        <f t="shared" si="20"/>
        <v>0</v>
      </c>
      <c r="F303" s="392"/>
    </row>
    <row r="304" spans="1:6" x14ac:dyDescent="0.25">
      <c r="A304" s="389"/>
      <c r="B304" s="121" t="s">
        <v>208</v>
      </c>
      <c r="C304" s="73">
        <v>1</v>
      </c>
      <c r="D304" s="74">
        <v>0</v>
      </c>
      <c r="E304" s="74">
        <f t="shared" si="20"/>
        <v>0</v>
      </c>
      <c r="F304" s="392"/>
    </row>
    <row r="305" spans="1:6" ht="15.75" thickBot="1" x14ac:dyDescent="0.3">
      <c r="A305" s="389"/>
      <c r="B305" s="121" t="s">
        <v>203</v>
      </c>
      <c r="C305" s="73">
        <v>1</v>
      </c>
      <c r="D305" s="74">
        <v>0</v>
      </c>
      <c r="E305" s="74">
        <f t="shared" si="20"/>
        <v>0</v>
      </c>
      <c r="F305" s="392"/>
    </row>
    <row r="306" spans="1:6" ht="26.25" thickBot="1" x14ac:dyDescent="0.3">
      <c r="A306" s="144">
        <v>4800</v>
      </c>
      <c r="B306" s="115" t="s">
        <v>101</v>
      </c>
      <c r="C306" s="103">
        <v>1</v>
      </c>
      <c r="D306" s="104">
        <v>0</v>
      </c>
      <c r="E306" s="104">
        <f t="shared" si="20"/>
        <v>0</v>
      </c>
      <c r="F306" s="105">
        <f>E306</f>
        <v>0</v>
      </c>
    </row>
    <row r="307" spans="1:6" x14ac:dyDescent="0.25">
      <c r="A307" s="417"/>
      <c r="B307" s="418"/>
      <c r="C307" s="418"/>
      <c r="D307" s="418"/>
      <c r="E307" s="418"/>
      <c r="F307" s="419"/>
    </row>
    <row r="308" spans="1:6" ht="89.25" x14ac:dyDescent="0.25">
      <c r="A308" s="259">
        <v>801</v>
      </c>
      <c r="B308" s="260" t="s">
        <v>222</v>
      </c>
      <c r="C308" s="261"/>
      <c r="D308" s="262"/>
      <c r="E308" s="262">
        <f>SUM(E310)</f>
        <v>0</v>
      </c>
      <c r="F308" s="263">
        <f>SUM(F309:F310)</f>
        <v>0</v>
      </c>
    </row>
    <row r="309" spans="1:6" x14ac:dyDescent="0.25">
      <c r="A309" s="156">
        <v>4210</v>
      </c>
      <c r="B309" s="157" t="s">
        <v>160</v>
      </c>
      <c r="C309" s="158">
        <v>0</v>
      </c>
      <c r="D309" s="159">
        <v>0</v>
      </c>
      <c r="E309" s="159">
        <f>C309*D309</f>
        <v>0</v>
      </c>
      <c r="F309" s="151">
        <f>E309</f>
        <v>0</v>
      </c>
    </row>
    <row r="310" spans="1:6" x14ac:dyDescent="0.25">
      <c r="A310" s="156">
        <v>4240</v>
      </c>
      <c r="B310" s="157" t="s">
        <v>223</v>
      </c>
      <c r="C310" s="158">
        <v>0</v>
      </c>
      <c r="D310" s="159">
        <v>0</v>
      </c>
      <c r="E310" s="159">
        <f>C310*D310</f>
        <v>0</v>
      </c>
      <c r="F310" s="151">
        <f>E310</f>
        <v>0</v>
      </c>
    </row>
    <row r="311" spans="1:6" ht="15.75" thickBot="1" x14ac:dyDescent="0.3">
      <c r="A311" s="152"/>
      <c r="B311" s="160"/>
      <c r="C311" s="161"/>
      <c r="D311" s="162"/>
      <c r="E311" s="162"/>
      <c r="F311" s="153"/>
    </row>
    <row r="312" spans="1:6" ht="15.75" thickBot="1" x14ac:dyDescent="0.3">
      <c r="A312" s="101"/>
      <c r="B312" s="103" t="s">
        <v>22</v>
      </c>
      <c r="C312" s="163"/>
      <c r="D312" s="147"/>
      <c r="E312" s="147">
        <f>SUM(E9+E211+E215+E275+E308+E177+E115+E243)</f>
        <v>4212483.5</v>
      </c>
      <c r="F312" s="147">
        <f>SUM(F9+F211+F215+F275+F177+F308+F115+F243)</f>
        <v>4212483.5</v>
      </c>
    </row>
  </sheetData>
  <mergeCells count="81">
    <mergeCell ref="A1:F1"/>
    <mergeCell ref="A3:F3"/>
    <mergeCell ref="A10:A16"/>
    <mergeCell ref="F10:F16"/>
    <mergeCell ref="A17:A23"/>
    <mergeCell ref="F17:F23"/>
    <mergeCell ref="A25:A35"/>
    <mergeCell ref="F25:F35"/>
    <mergeCell ref="A36:A45"/>
    <mergeCell ref="F36:F45"/>
    <mergeCell ref="A47:A58"/>
    <mergeCell ref="F47:F58"/>
    <mergeCell ref="A59:A61"/>
    <mergeCell ref="F59:F61"/>
    <mergeCell ref="A62:A65"/>
    <mergeCell ref="F62:F65"/>
    <mergeCell ref="A66:A68"/>
    <mergeCell ref="F66:F68"/>
    <mergeCell ref="A70:A85"/>
    <mergeCell ref="F70:F85"/>
    <mergeCell ref="A92:A100"/>
    <mergeCell ref="F92:F100"/>
    <mergeCell ref="A102:A110"/>
    <mergeCell ref="F102:F110"/>
    <mergeCell ref="A116:A119"/>
    <mergeCell ref="F116:F119"/>
    <mergeCell ref="A120:A126"/>
    <mergeCell ref="F120:F126"/>
    <mergeCell ref="A128:A137"/>
    <mergeCell ref="F128:F137"/>
    <mergeCell ref="A178:F178"/>
    <mergeCell ref="A138:A147"/>
    <mergeCell ref="F138:F147"/>
    <mergeCell ref="F149:F151"/>
    <mergeCell ref="A152:A153"/>
    <mergeCell ref="F152:F153"/>
    <mergeCell ref="A155:A157"/>
    <mergeCell ref="F155:F157"/>
    <mergeCell ref="A159:A165"/>
    <mergeCell ref="F159:F165"/>
    <mergeCell ref="A166:A174"/>
    <mergeCell ref="F166:F174"/>
    <mergeCell ref="A176:F176"/>
    <mergeCell ref="A216:A222"/>
    <mergeCell ref="F216:F222"/>
    <mergeCell ref="A179:A182"/>
    <mergeCell ref="F179:F182"/>
    <mergeCell ref="A183:A190"/>
    <mergeCell ref="F183:F190"/>
    <mergeCell ref="A191:A198"/>
    <mergeCell ref="F191:F198"/>
    <mergeCell ref="A280:A286"/>
    <mergeCell ref="F280:F286"/>
    <mergeCell ref="A242:F242"/>
    <mergeCell ref="A244:A247"/>
    <mergeCell ref="F244:F247"/>
    <mergeCell ref="A248:A254"/>
    <mergeCell ref="F248:F254"/>
    <mergeCell ref="A255:A261"/>
    <mergeCell ref="F255:F261"/>
    <mergeCell ref="B2:F2"/>
    <mergeCell ref="A264:A272"/>
    <mergeCell ref="F264:F272"/>
    <mergeCell ref="A274:F274"/>
    <mergeCell ref="A276:A279"/>
    <mergeCell ref="F276:F279"/>
    <mergeCell ref="A224:A227"/>
    <mergeCell ref="F224:F228"/>
    <mergeCell ref="A229:A232"/>
    <mergeCell ref="F229:F233"/>
    <mergeCell ref="A234:A237"/>
    <mergeCell ref="F234:F237"/>
    <mergeCell ref="A200:A208"/>
    <mergeCell ref="F200:F208"/>
    <mergeCell ref="A210:F210"/>
    <mergeCell ref="A214:F214"/>
    <mergeCell ref="A287:A293"/>
    <mergeCell ref="F287:F293"/>
    <mergeCell ref="A297:A305"/>
    <mergeCell ref="F297:F305"/>
    <mergeCell ref="A307:F307"/>
  </mergeCells>
  <conditionalFormatting sqref="C3:F4 E5:F5 C6:F17 E18:E23 C24:F25 E26:E35 C36:F36 E37:E45 C46:F47 C48:E58 C59:F62 C63:D65 C66:F66 C67:E68 C69:F70 C71:E85 C86:F92 C93:E101 F101 C102:F102 C103:E110 C111:F149 C150:E151 C152:F175 C177:F177 C179:F179 C180:E182 C183:F183 C184:E190 C191:F191 C192:E198 C199:F200 C201:E208 C209:F209 C211:F213 C215:F216 C217:D222 C223:F224 C225:E228 C229:F229 C230:E233 C234:F235 C236:E237 C238:F241 C243:F244 C245:E247 C248:F248 C249:E254 C255:F255 C256:E261 C262:F264 C265:E272 C273:F273 C275:F276 C277:E279 C280:F280 C281:E286 C287:F287 C288:E293 C294:F297 C298:E305 C306:F306 C308:F312">
    <cfRule type="cellIs" dxfId="0" priority="1" stopIfTrue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wyliczenia</vt:lpstr>
      <vt:lpstr>koszt 1 ucznia</vt:lpstr>
      <vt:lpstr>wariant 1</vt:lpstr>
      <vt:lpstr>wariant 2</vt:lpstr>
      <vt:lpstr>wariant 2a</vt:lpstr>
      <vt:lpstr>WARIANT 2b</vt:lpstr>
      <vt:lpstr>wariant3</vt:lpstr>
      <vt:lpstr>wariant 3a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Kosala</dc:creator>
  <cp:lastModifiedBy>Anna Adamik</cp:lastModifiedBy>
  <cp:lastPrinted>2025-11-02T10:09:55Z</cp:lastPrinted>
  <dcterms:created xsi:type="dcterms:W3CDTF">2024-11-28T06:15:52Z</dcterms:created>
  <dcterms:modified xsi:type="dcterms:W3CDTF">2025-11-02T10:46:09Z</dcterms:modified>
</cp:coreProperties>
</file>